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настасия\Desktop\"/>
    </mc:Choice>
  </mc:AlternateContent>
  <xr:revisionPtr revIDLastSave="0" documentId="13_ncr:1_{96971E98-C583-436C-A4E2-686218B94810}" xr6:coauthVersionLast="46" xr6:coauthVersionMax="46" xr10:uidLastSave="{00000000-0000-0000-0000-000000000000}"/>
  <bookViews>
    <workbookView xWindow="-120" yWindow="-120" windowWidth="28110" windowHeight="16440" xr2:uid="{00000000-000D-0000-FFFF-FFFF00000000}"/>
  </bookViews>
  <sheets>
    <sheet name="Sheet1" sheetId="1" r:id="rId1"/>
  </sheets>
  <definedNames>
    <definedName name="_xlnm._FilterDatabase" localSheetId="0" hidden="1">Sheet1!$A$1:$E$2429</definedName>
  </definedNames>
  <calcPr calcId="181029"/>
</workbook>
</file>

<file path=xl/calcChain.xml><?xml version="1.0" encoding="utf-8"?>
<calcChain xmlns="http://schemas.openxmlformats.org/spreadsheetml/2006/main">
  <c r="C2429" i="1" l="1"/>
  <c r="C2428" i="1"/>
  <c r="C2427" i="1"/>
  <c r="C2426" i="1"/>
  <c r="C2425" i="1"/>
  <c r="C2424" i="1"/>
  <c r="C2423" i="1"/>
  <c r="C2422" i="1"/>
  <c r="C2421" i="1"/>
  <c r="C2420" i="1"/>
  <c r="C2419" i="1"/>
  <c r="C2418" i="1"/>
  <c r="C2417" i="1"/>
  <c r="C2416" i="1"/>
  <c r="C2415" i="1"/>
  <c r="C2414" i="1"/>
  <c r="C2413" i="1"/>
  <c r="C2412" i="1"/>
  <c r="C2411" i="1"/>
  <c r="C2410" i="1"/>
  <c r="C2409" i="1"/>
  <c r="C2408" i="1"/>
  <c r="C2407" i="1"/>
  <c r="C2406" i="1"/>
  <c r="C2405" i="1"/>
  <c r="C2404" i="1"/>
  <c r="C2403" i="1"/>
  <c r="C2402" i="1"/>
  <c r="C2401" i="1"/>
  <c r="C2400" i="1"/>
  <c r="C2399" i="1"/>
  <c r="C2398" i="1"/>
  <c r="C2397" i="1"/>
  <c r="C2396" i="1"/>
  <c r="C2395" i="1"/>
  <c r="C2394" i="1"/>
  <c r="C2393" i="1"/>
  <c r="C2392" i="1"/>
  <c r="C2391" i="1"/>
  <c r="C2390" i="1"/>
  <c r="C2389" i="1"/>
  <c r="C2388" i="1"/>
  <c r="C2387" i="1"/>
  <c r="C2386" i="1"/>
  <c r="C2385" i="1"/>
  <c r="C2384" i="1"/>
  <c r="C2383" i="1"/>
  <c r="C2382" i="1"/>
  <c r="C2381" i="1"/>
  <c r="C2380" i="1"/>
  <c r="C2379" i="1"/>
  <c r="C2378" i="1"/>
  <c r="C2377" i="1"/>
  <c r="C2376" i="1"/>
  <c r="C2375" i="1"/>
  <c r="C2374" i="1"/>
  <c r="C2373" i="1"/>
  <c r="C2372" i="1"/>
  <c r="C2371" i="1"/>
  <c r="C2370" i="1"/>
  <c r="C2369" i="1"/>
  <c r="C2368" i="1"/>
  <c r="C2367" i="1"/>
  <c r="C2366" i="1"/>
  <c r="C2365" i="1"/>
  <c r="C2364" i="1"/>
  <c r="C2363" i="1"/>
  <c r="C2362" i="1"/>
  <c r="C2361" i="1"/>
  <c r="C2360" i="1"/>
  <c r="C2359" i="1"/>
  <c r="C2358" i="1"/>
  <c r="C2357" i="1"/>
  <c r="C2356" i="1"/>
  <c r="C2355" i="1"/>
  <c r="C2354" i="1"/>
  <c r="C2353" i="1"/>
  <c r="C2352" i="1"/>
  <c r="C2351" i="1"/>
  <c r="C2350" i="1"/>
  <c r="C2349" i="1"/>
  <c r="C2348" i="1"/>
  <c r="C2347" i="1"/>
  <c r="C2346" i="1"/>
  <c r="C2345" i="1"/>
  <c r="C2344" i="1"/>
  <c r="C2343" i="1"/>
  <c r="C2342" i="1"/>
  <c r="C2341" i="1"/>
  <c r="C2340" i="1"/>
  <c r="C2339" i="1"/>
  <c r="C2338" i="1"/>
  <c r="C2337" i="1"/>
  <c r="C2336" i="1"/>
  <c r="C2335" i="1"/>
  <c r="C2334" i="1"/>
  <c r="C2333" i="1"/>
  <c r="C2332" i="1"/>
  <c r="C2331" i="1"/>
  <c r="C2330" i="1"/>
  <c r="C2329" i="1"/>
  <c r="C2328" i="1"/>
  <c r="C2327" i="1"/>
  <c r="C2326" i="1"/>
  <c r="C2325" i="1"/>
  <c r="C2324" i="1"/>
  <c r="C2323" i="1"/>
  <c r="C2322" i="1"/>
  <c r="C2321" i="1"/>
  <c r="C2320" i="1"/>
  <c r="C2319" i="1"/>
  <c r="C2318" i="1"/>
  <c r="C2317" i="1"/>
  <c r="C2316" i="1"/>
  <c r="C2315" i="1"/>
  <c r="C2314" i="1"/>
  <c r="C2313" i="1"/>
  <c r="C2312" i="1"/>
  <c r="C2311" i="1"/>
  <c r="C2310" i="1"/>
  <c r="C2309" i="1"/>
  <c r="C2308" i="1"/>
  <c r="C2307" i="1"/>
  <c r="C2306" i="1"/>
  <c r="C2305" i="1"/>
  <c r="C2304" i="1"/>
  <c r="C2303" i="1"/>
  <c r="C2302" i="1"/>
  <c r="C2301" i="1"/>
  <c r="C2300" i="1"/>
  <c r="C2299" i="1"/>
  <c r="C2298" i="1"/>
  <c r="C2297" i="1"/>
  <c r="C2296" i="1"/>
  <c r="C2295" i="1"/>
  <c r="C2294" i="1"/>
  <c r="C2293" i="1"/>
  <c r="C2292" i="1"/>
  <c r="C2291" i="1"/>
  <c r="C2290" i="1"/>
  <c r="C2289" i="1"/>
  <c r="C2288" i="1"/>
  <c r="C2287" i="1"/>
  <c r="C2286" i="1"/>
  <c r="C2285" i="1"/>
  <c r="C2284" i="1"/>
  <c r="C2283" i="1"/>
  <c r="C2282" i="1"/>
  <c r="C2281" i="1"/>
  <c r="C2280" i="1"/>
  <c r="C2279" i="1"/>
  <c r="C2278" i="1"/>
  <c r="C2277" i="1"/>
  <c r="C2276" i="1"/>
  <c r="C2275" i="1"/>
  <c r="C2274" i="1"/>
  <c r="C2273" i="1"/>
  <c r="C2272" i="1"/>
  <c r="C2271" i="1"/>
  <c r="C2270" i="1"/>
  <c r="C2269" i="1"/>
  <c r="C2268" i="1"/>
  <c r="C2267" i="1"/>
  <c r="C2266" i="1"/>
  <c r="C2265" i="1"/>
  <c r="C2264" i="1"/>
  <c r="C2263" i="1"/>
  <c r="C2262" i="1"/>
  <c r="C2261" i="1"/>
  <c r="C2260" i="1"/>
  <c r="C2259" i="1"/>
  <c r="C2258" i="1"/>
  <c r="C2257" i="1"/>
  <c r="C2256" i="1"/>
  <c r="C2255" i="1"/>
  <c r="C2254" i="1"/>
  <c r="C2253" i="1"/>
  <c r="C2252" i="1"/>
  <c r="C2251" i="1"/>
  <c r="C2250" i="1"/>
  <c r="C2249" i="1"/>
  <c r="C2248" i="1"/>
  <c r="C2247" i="1"/>
  <c r="C2246" i="1"/>
  <c r="C2245" i="1"/>
  <c r="C2244" i="1"/>
  <c r="C2243" i="1"/>
  <c r="C2242" i="1"/>
  <c r="C2241" i="1"/>
  <c r="C2240" i="1"/>
  <c r="C2239" i="1"/>
  <c r="C2238" i="1"/>
  <c r="C2237" i="1"/>
  <c r="C2236" i="1"/>
  <c r="C2235" i="1"/>
  <c r="C2234" i="1"/>
  <c r="C2233" i="1"/>
  <c r="C2232" i="1"/>
  <c r="C2231" i="1"/>
  <c r="C2230" i="1"/>
  <c r="C2229" i="1"/>
  <c r="C2228" i="1"/>
  <c r="C2227" i="1"/>
  <c r="C2226" i="1"/>
  <c r="C2225" i="1"/>
  <c r="C2224" i="1"/>
  <c r="C2223" i="1"/>
  <c r="C2222" i="1"/>
  <c r="C2221" i="1"/>
  <c r="C2220" i="1"/>
  <c r="C2219" i="1"/>
  <c r="C2218" i="1"/>
  <c r="C2217" i="1"/>
  <c r="C2216" i="1"/>
  <c r="C2215" i="1"/>
  <c r="C2214" i="1"/>
  <c r="C2213" i="1"/>
  <c r="C2212" i="1"/>
  <c r="C2211" i="1"/>
  <c r="C2210" i="1"/>
  <c r="C2209" i="1"/>
  <c r="C2208" i="1"/>
  <c r="C2207" i="1"/>
  <c r="C2206" i="1"/>
  <c r="C2205" i="1"/>
  <c r="C2204" i="1"/>
  <c r="C2203" i="1"/>
  <c r="C2202" i="1"/>
  <c r="C2201" i="1"/>
  <c r="C2200" i="1"/>
  <c r="C2199" i="1"/>
  <c r="C2198" i="1"/>
  <c r="C2197" i="1"/>
  <c r="C2196" i="1"/>
  <c r="C2195" i="1"/>
  <c r="C2194" i="1"/>
  <c r="C2193" i="1"/>
  <c r="C2192" i="1"/>
  <c r="C2191" i="1"/>
  <c r="C2190" i="1"/>
  <c r="C2189" i="1"/>
  <c r="C2188" i="1"/>
  <c r="C2187" i="1"/>
  <c r="C2186" i="1"/>
  <c r="C2185" i="1"/>
  <c r="C2184" i="1"/>
  <c r="C2183" i="1"/>
  <c r="C2182" i="1"/>
  <c r="C2181" i="1"/>
  <c r="C2180" i="1"/>
  <c r="C2179" i="1"/>
  <c r="C2178" i="1"/>
  <c r="C2177" i="1"/>
  <c r="C2176" i="1"/>
  <c r="C2175" i="1"/>
  <c r="C2174" i="1"/>
  <c r="C2173" i="1"/>
  <c r="C2172" i="1"/>
  <c r="C2171" i="1"/>
  <c r="C2170" i="1"/>
  <c r="C2169" i="1"/>
  <c r="C2168" i="1"/>
  <c r="C2167" i="1"/>
  <c r="C2166" i="1"/>
  <c r="C2165" i="1"/>
  <c r="C2164" i="1"/>
  <c r="C2163" i="1"/>
  <c r="C2162" i="1"/>
  <c r="C2161" i="1"/>
  <c r="C2160" i="1"/>
  <c r="C2159" i="1"/>
  <c r="C2158" i="1"/>
  <c r="C2157" i="1"/>
  <c r="C2156" i="1"/>
  <c r="C2155" i="1"/>
  <c r="C2154" i="1"/>
  <c r="C2153" i="1"/>
  <c r="C2152" i="1"/>
  <c r="C2151" i="1"/>
  <c r="C2150" i="1"/>
  <c r="C2149" i="1"/>
  <c r="C2148" i="1"/>
  <c r="C2147" i="1"/>
  <c r="C2146" i="1"/>
  <c r="C2145" i="1"/>
  <c r="C2144" i="1"/>
  <c r="C2143" i="1"/>
  <c r="C2142" i="1"/>
  <c r="C2141" i="1"/>
  <c r="C2140" i="1"/>
  <c r="C2139" i="1"/>
  <c r="C2138" i="1"/>
  <c r="C2137" i="1"/>
  <c r="C2136" i="1"/>
  <c r="C2135" i="1"/>
  <c r="C2134" i="1"/>
  <c r="C2133" i="1"/>
  <c r="C2132" i="1"/>
  <c r="C2131" i="1"/>
  <c r="C2130" i="1"/>
  <c r="C2129" i="1"/>
  <c r="C2128" i="1"/>
  <c r="C2127" i="1"/>
  <c r="C2126" i="1"/>
  <c r="C2125" i="1"/>
  <c r="C2124" i="1"/>
  <c r="C2123" i="1"/>
  <c r="C2122" i="1"/>
  <c r="C2121" i="1"/>
  <c r="C2120" i="1"/>
  <c r="C2119" i="1"/>
  <c r="C2118" i="1"/>
  <c r="C2117" i="1"/>
  <c r="C2116" i="1"/>
  <c r="C2115" i="1"/>
  <c r="C2114" i="1"/>
  <c r="C2113" i="1"/>
  <c r="C2112" i="1"/>
  <c r="C2111" i="1"/>
  <c r="C2110" i="1"/>
  <c r="C2109" i="1"/>
  <c r="C2108" i="1"/>
  <c r="C2107" i="1"/>
  <c r="C2106" i="1"/>
  <c r="C2105" i="1"/>
  <c r="C2104" i="1"/>
  <c r="C2103" i="1"/>
  <c r="C2102" i="1"/>
  <c r="C2101" i="1"/>
  <c r="C2100" i="1"/>
  <c r="C2099" i="1"/>
  <c r="C2098" i="1"/>
  <c r="C2097" i="1"/>
  <c r="C2096" i="1"/>
  <c r="C2095" i="1"/>
  <c r="C2094" i="1"/>
  <c r="C2093" i="1"/>
  <c r="C2092" i="1"/>
  <c r="C2091" i="1"/>
  <c r="C2090" i="1"/>
  <c r="C2089" i="1"/>
  <c r="C2088" i="1"/>
  <c r="C2087" i="1"/>
  <c r="C2086" i="1"/>
  <c r="C2085" i="1"/>
  <c r="C2084" i="1"/>
  <c r="C2083" i="1"/>
  <c r="C2082" i="1"/>
  <c r="C2081" i="1"/>
  <c r="C2080" i="1"/>
  <c r="C2079" i="1"/>
  <c r="C2078" i="1"/>
  <c r="C2077" i="1"/>
  <c r="C2076" i="1"/>
  <c r="C2075" i="1"/>
  <c r="C2074" i="1"/>
  <c r="C2073" i="1"/>
  <c r="C2072" i="1"/>
  <c r="C2071" i="1"/>
  <c r="C2070" i="1"/>
  <c r="C2069" i="1"/>
  <c r="C2068" i="1"/>
  <c r="C2067" i="1"/>
  <c r="C2066" i="1"/>
  <c r="C2065" i="1"/>
  <c r="C2064" i="1"/>
  <c r="C2063" i="1"/>
  <c r="C2062" i="1"/>
  <c r="C2061" i="1"/>
  <c r="C2060" i="1"/>
  <c r="C2059" i="1"/>
  <c r="C2058" i="1"/>
  <c r="C2057" i="1"/>
  <c r="C2056" i="1"/>
  <c r="C2055" i="1"/>
  <c r="C2054" i="1"/>
  <c r="C2053" i="1"/>
  <c r="C2052" i="1"/>
  <c r="C2051" i="1"/>
  <c r="C2050" i="1"/>
  <c r="C2049" i="1"/>
  <c r="C2048" i="1"/>
  <c r="C2047" i="1"/>
  <c r="C2046" i="1"/>
  <c r="C2045" i="1"/>
  <c r="C2044" i="1"/>
  <c r="C2043" i="1"/>
  <c r="C2042" i="1"/>
  <c r="C2041" i="1"/>
  <c r="C2040" i="1"/>
  <c r="C2039" i="1"/>
  <c r="C2038" i="1"/>
  <c r="C2037" i="1"/>
  <c r="C2036" i="1"/>
  <c r="C2035" i="1"/>
  <c r="C2034" i="1"/>
  <c r="C2033" i="1"/>
  <c r="C2032" i="1"/>
  <c r="C2031" i="1"/>
  <c r="C2030" i="1"/>
  <c r="C2029" i="1"/>
  <c r="C2028" i="1"/>
  <c r="C2027" i="1"/>
  <c r="C2026" i="1"/>
  <c r="C2025" i="1"/>
  <c r="C2024" i="1"/>
  <c r="C2023" i="1"/>
  <c r="C2022" i="1"/>
  <c r="C2021" i="1"/>
  <c r="C2020" i="1"/>
  <c r="C2019" i="1"/>
  <c r="C2018" i="1"/>
  <c r="C2017" i="1"/>
  <c r="C2016" i="1"/>
  <c r="C2015" i="1"/>
  <c r="C2014" i="1"/>
  <c r="C2013" i="1"/>
  <c r="C2012" i="1"/>
  <c r="C2011" i="1"/>
  <c r="C2010" i="1"/>
  <c r="C2009" i="1"/>
  <c r="C2008" i="1"/>
  <c r="C2007" i="1"/>
  <c r="C2006" i="1"/>
  <c r="C2005" i="1"/>
  <c r="C2004" i="1"/>
  <c r="C2003" i="1"/>
  <c r="C2002" i="1"/>
  <c r="C2001" i="1"/>
  <c r="C2000" i="1"/>
  <c r="C1999" i="1"/>
  <c r="C1998" i="1"/>
  <c r="C1997" i="1"/>
  <c r="C1996" i="1"/>
  <c r="C1995" i="1"/>
  <c r="C1994" i="1"/>
  <c r="C1993" i="1"/>
  <c r="C1992" i="1"/>
  <c r="C1991" i="1"/>
  <c r="C1990" i="1"/>
  <c r="C1989" i="1"/>
  <c r="C1988" i="1"/>
  <c r="C1987" i="1"/>
  <c r="C1986" i="1"/>
  <c r="C1985" i="1"/>
  <c r="C1984" i="1"/>
  <c r="C1983" i="1"/>
  <c r="C1982" i="1"/>
  <c r="C1981" i="1"/>
  <c r="C1980" i="1"/>
  <c r="C1979" i="1"/>
  <c r="C1978" i="1"/>
  <c r="C1977" i="1"/>
  <c r="C1976" i="1"/>
  <c r="C1975" i="1"/>
  <c r="C1974" i="1"/>
  <c r="C1973" i="1"/>
  <c r="C1972" i="1"/>
  <c r="C1971" i="1"/>
  <c r="C1970" i="1"/>
  <c r="C1969" i="1"/>
  <c r="C1968" i="1"/>
  <c r="C1967" i="1"/>
  <c r="C1966" i="1"/>
  <c r="C1965" i="1"/>
  <c r="C1964" i="1"/>
  <c r="C1963" i="1"/>
  <c r="C1962" i="1"/>
  <c r="C1961" i="1"/>
  <c r="C1960" i="1"/>
  <c r="C1959" i="1"/>
  <c r="C1958" i="1"/>
  <c r="C1957" i="1"/>
  <c r="C1956" i="1"/>
  <c r="C1955" i="1"/>
  <c r="C1954" i="1"/>
  <c r="C1953" i="1"/>
  <c r="C1952" i="1"/>
  <c r="C1951" i="1"/>
  <c r="C1950" i="1"/>
  <c r="C1949" i="1"/>
  <c r="C1948" i="1"/>
  <c r="C1947" i="1"/>
  <c r="C1946" i="1"/>
  <c r="C1945" i="1"/>
  <c r="C1944" i="1"/>
  <c r="C1943" i="1"/>
  <c r="C1942" i="1"/>
  <c r="C1941" i="1"/>
  <c r="C1940" i="1"/>
  <c r="C1939" i="1"/>
  <c r="C1938" i="1"/>
  <c r="C1937" i="1"/>
  <c r="C1936" i="1"/>
  <c r="C1935" i="1"/>
  <c r="C1934" i="1"/>
  <c r="C1933" i="1"/>
  <c r="C1932" i="1"/>
  <c r="C1931" i="1"/>
  <c r="C1930" i="1"/>
  <c r="C1929" i="1"/>
  <c r="C1928" i="1"/>
  <c r="C1927" i="1"/>
  <c r="C1926" i="1"/>
  <c r="C1925" i="1"/>
  <c r="C1924" i="1"/>
  <c r="C1923" i="1"/>
  <c r="C1922" i="1"/>
  <c r="C1921" i="1"/>
  <c r="C1920" i="1"/>
  <c r="C1919" i="1"/>
  <c r="C1918" i="1"/>
  <c r="C1917" i="1"/>
  <c r="C1916" i="1"/>
  <c r="C1915" i="1"/>
  <c r="C1914" i="1"/>
  <c r="C1913" i="1"/>
  <c r="C1912" i="1"/>
  <c r="C1911" i="1"/>
  <c r="C1910" i="1"/>
  <c r="C1909" i="1"/>
  <c r="C1908" i="1"/>
  <c r="C1907" i="1"/>
  <c r="C1906" i="1"/>
  <c r="C1905" i="1"/>
  <c r="C1904" i="1"/>
  <c r="C1903" i="1"/>
  <c r="C1902" i="1"/>
  <c r="C1901" i="1"/>
  <c r="C1900" i="1"/>
  <c r="C1899" i="1"/>
  <c r="C1898" i="1"/>
  <c r="C1897" i="1"/>
  <c r="C1896" i="1"/>
  <c r="C1895" i="1"/>
  <c r="C1894" i="1"/>
  <c r="C1893" i="1"/>
  <c r="C1892" i="1"/>
  <c r="C1891" i="1"/>
  <c r="C1890" i="1"/>
  <c r="C1889" i="1"/>
  <c r="C1888" i="1"/>
  <c r="C1887" i="1"/>
  <c r="C1886" i="1"/>
  <c r="C1885" i="1"/>
  <c r="C1884" i="1"/>
  <c r="C1883" i="1"/>
  <c r="C1882" i="1"/>
  <c r="C1881" i="1"/>
  <c r="C1880" i="1"/>
  <c r="C1879" i="1"/>
  <c r="C1878" i="1"/>
  <c r="C1877" i="1"/>
  <c r="C1876" i="1"/>
  <c r="C1875" i="1"/>
  <c r="C1874" i="1"/>
  <c r="C1873" i="1"/>
  <c r="C1872" i="1"/>
  <c r="C1871" i="1"/>
  <c r="C1870" i="1"/>
  <c r="C1869" i="1"/>
  <c r="C1868" i="1"/>
  <c r="C1867" i="1"/>
  <c r="C1866" i="1"/>
  <c r="C1865" i="1"/>
  <c r="C1864" i="1"/>
  <c r="C1863" i="1"/>
  <c r="C1862" i="1"/>
  <c r="C1861" i="1"/>
  <c r="C1860" i="1"/>
  <c r="C1859" i="1"/>
  <c r="C1858" i="1"/>
  <c r="C1857" i="1"/>
  <c r="C1856" i="1"/>
  <c r="C1855" i="1"/>
  <c r="C1854" i="1"/>
  <c r="C1853" i="1"/>
  <c r="C1852" i="1"/>
  <c r="C1851" i="1"/>
  <c r="C1850" i="1"/>
  <c r="C1849" i="1"/>
  <c r="C1848" i="1"/>
  <c r="C1847" i="1"/>
  <c r="C1846" i="1"/>
  <c r="C1845" i="1"/>
  <c r="C1844" i="1"/>
  <c r="C1843" i="1"/>
  <c r="C1842" i="1"/>
  <c r="C1841" i="1"/>
  <c r="C1840" i="1"/>
  <c r="C1839" i="1"/>
  <c r="C1838" i="1"/>
  <c r="C1837" i="1"/>
  <c r="C1836" i="1"/>
  <c r="C1835" i="1"/>
  <c r="C1834" i="1"/>
  <c r="C1833" i="1"/>
  <c r="C1832" i="1"/>
  <c r="C1831" i="1"/>
  <c r="C1830" i="1"/>
  <c r="C1829" i="1"/>
  <c r="C1828" i="1"/>
  <c r="C1827" i="1"/>
  <c r="C1826" i="1"/>
  <c r="C1825" i="1"/>
  <c r="C1824" i="1"/>
  <c r="C1823" i="1"/>
  <c r="C1822" i="1"/>
  <c r="C1821" i="1"/>
  <c r="C1820" i="1"/>
  <c r="C1819" i="1"/>
  <c r="C1818" i="1"/>
  <c r="C1817" i="1"/>
  <c r="C1816" i="1"/>
  <c r="C1815" i="1"/>
  <c r="C1814" i="1"/>
  <c r="C1813" i="1"/>
  <c r="C1812" i="1"/>
  <c r="C1811" i="1"/>
  <c r="C1810" i="1"/>
  <c r="C1809" i="1"/>
  <c r="C1808" i="1"/>
  <c r="C1807" i="1"/>
  <c r="C1806" i="1"/>
  <c r="C1805" i="1"/>
  <c r="C1804" i="1"/>
  <c r="C1803" i="1"/>
  <c r="C1802" i="1"/>
  <c r="C1801" i="1"/>
  <c r="C1800" i="1"/>
  <c r="C1799" i="1"/>
  <c r="C1798" i="1"/>
  <c r="C1797" i="1"/>
  <c r="C1796" i="1"/>
  <c r="C1795" i="1"/>
  <c r="C1794" i="1"/>
  <c r="C1793" i="1"/>
  <c r="C1792" i="1"/>
  <c r="C1791" i="1"/>
  <c r="C1790" i="1"/>
  <c r="C1789" i="1"/>
  <c r="C1788" i="1"/>
  <c r="C1787" i="1"/>
  <c r="C1786" i="1"/>
  <c r="C1785" i="1"/>
  <c r="C1784" i="1"/>
  <c r="C1783" i="1"/>
  <c r="C1782" i="1"/>
  <c r="C1781" i="1"/>
  <c r="C1780" i="1"/>
  <c r="C1779" i="1"/>
  <c r="C1778" i="1"/>
  <c r="C1777" i="1"/>
  <c r="C1776" i="1"/>
  <c r="C1775" i="1"/>
  <c r="C1774" i="1"/>
  <c r="C1773" i="1"/>
  <c r="C1772" i="1"/>
  <c r="C1771" i="1"/>
  <c r="C1770" i="1"/>
  <c r="C1769" i="1"/>
  <c r="C1768" i="1"/>
  <c r="C1767" i="1"/>
  <c r="C1766" i="1"/>
  <c r="C1765" i="1"/>
  <c r="C1764" i="1"/>
  <c r="C1763" i="1"/>
  <c r="C1762" i="1"/>
  <c r="C1761" i="1"/>
  <c r="C1760" i="1"/>
  <c r="C1759" i="1"/>
  <c r="C1758" i="1"/>
  <c r="C1757" i="1"/>
  <c r="C1756" i="1"/>
  <c r="C1755" i="1"/>
  <c r="C1754" i="1"/>
  <c r="C1753" i="1"/>
  <c r="C1752" i="1"/>
  <c r="C1751" i="1"/>
  <c r="C1750" i="1"/>
  <c r="C1749" i="1"/>
  <c r="C1748" i="1"/>
  <c r="C1747" i="1"/>
  <c r="C1746" i="1"/>
  <c r="C1745" i="1"/>
  <c r="C1744" i="1"/>
  <c r="C1743" i="1"/>
  <c r="C1742" i="1"/>
  <c r="C1741" i="1"/>
  <c r="C1740" i="1"/>
  <c r="C1739" i="1"/>
  <c r="C1738" i="1"/>
  <c r="C1737" i="1"/>
  <c r="C1736" i="1"/>
  <c r="C1735" i="1"/>
  <c r="C1734" i="1"/>
  <c r="C1733" i="1"/>
  <c r="C1732" i="1"/>
  <c r="C1731" i="1"/>
  <c r="C1730" i="1"/>
  <c r="C1729" i="1"/>
  <c r="C1728" i="1"/>
  <c r="C1727" i="1"/>
  <c r="C1726" i="1"/>
  <c r="C1725" i="1"/>
  <c r="C1724" i="1"/>
  <c r="C1723" i="1"/>
  <c r="C1722" i="1"/>
  <c r="C1721" i="1"/>
  <c r="C1720" i="1"/>
  <c r="C1719" i="1"/>
  <c r="C1718" i="1"/>
  <c r="C1717" i="1"/>
  <c r="C1716" i="1"/>
  <c r="C1715" i="1"/>
  <c r="C1714" i="1"/>
  <c r="C1713" i="1"/>
  <c r="C1712" i="1"/>
  <c r="C1711" i="1"/>
  <c r="C1710" i="1"/>
  <c r="C1709" i="1"/>
  <c r="C1708" i="1"/>
  <c r="C1707" i="1"/>
  <c r="C1706" i="1"/>
  <c r="C1705" i="1"/>
  <c r="C1704" i="1"/>
  <c r="C1703" i="1"/>
  <c r="C1702" i="1"/>
  <c r="C1701" i="1"/>
  <c r="C1700" i="1"/>
  <c r="C1699" i="1"/>
  <c r="C1698" i="1"/>
  <c r="C1697" i="1"/>
  <c r="C1696" i="1"/>
  <c r="C1695" i="1"/>
  <c r="C1694" i="1"/>
  <c r="C1693" i="1"/>
  <c r="C1692" i="1"/>
  <c r="C1691" i="1"/>
  <c r="C1690" i="1"/>
  <c r="C1689" i="1"/>
  <c r="C1688" i="1"/>
  <c r="C1687" i="1"/>
  <c r="C1686" i="1"/>
  <c r="C1685" i="1"/>
  <c r="C1684" i="1"/>
  <c r="C1683" i="1"/>
  <c r="C1682" i="1"/>
  <c r="C1681" i="1"/>
  <c r="C1680" i="1"/>
  <c r="C1679" i="1"/>
  <c r="C1678" i="1"/>
  <c r="C1677" i="1"/>
  <c r="C1676" i="1"/>
  <c r="C1675" i="1"/>
  <c r="C1674" i="1"/>
  <c r="C1673" i="1"/>
  <c r="C1672" i="1"/>
  <c r="C1671" i="1"/>
  <c r="C1670" i="1"/>
  <c r="C1669" i="1"/>
  <c r="C1668" i="1"/>
  <c r="C1667" i="1"/>
  <c r="C1666" i="1"/>
  <c r="C1665" i="1"/>
  <c r="C1664" i="1"/>
  <c r="C1663" i="1"/>
  <c r="C1662" i="1"/>
  <c r="C1661" i="1"/>
  <c r="C1660" i="1"/>
  <c r="C1659" i="1"/>
  <c r="C1658" i="1"/>
  <c r="C1657" i="1"/>
  <c r="C1656" i="1"/>
  <c r="C1655" i="1"/>
  <c r="C1654" i="1"/>
  <c r="C1653" i="1"/>
  <c r="C1652" i="1"/>
  <c r="C1651" i="1"/>
  <c r="C1650" i="1"/>
  <c r="C1649" i="1"/>
  <c r="C1648" i="1"/>
  <c r="C1647" i="1"/>
  <c r="C1646" i="1"/>
  <c r="C1645" i="1"/>
  <c r="C1644" i="1"/>
  <c r="C1643" i="1"/>
  <c r="C1642" i="1"/>
  <c r="C1641" i="1"/>
  <c r="C1640" i="1"/>
  <c r="C1639" i="1"/>
  <c r="C1638" i="1"/>
  <c r="C1637" i="1"/>
  <c r="C1636" i="1"/>
  <c r="C1635" i="1"/>
  <c r="C1634" i="1"/>
  <c r="C1633" i="1"/>
  <c r="C1632" i="1"/>
  <c r="C1631" i="1"/>
  <c r="C1630" i="1"/>
  <c r="C1629" i="1"/>
  <c r="C1628" i="1"/>
  <c r="C1627" i="1"/>
  <c r="C1626" i="1"/>
  <c r="C1625" i="1"/>
  <c r="C1624" i="1"/>
  <c r="C1623" i="1"/>
  <c r="C1622" i="1"/>
  <c r="C1621" i="1"/>
  <c r="C1620" i="1"/>
  <c r="C1619" i="1"/>
  <c r="C1618" i="1"/>
  <c r="C1617" i="1"/>
  <c r="C1616" i="1"/>
  <c r="C1615" i="1"/>
  <c r="C1614" i="1"/>
  <c r="C1613" i="1"/>
  <c r="C1612" i="1"/>
  <c r="C1611" i="1"/>
  <c r="C1610" i="1"/>
  <c r="C1609" i="1"/>
  <c r="C1608" i="1"/>
  <c r="C1607" i="1"/>
  <c r="C1606" i="1"/>
  <c r="C1605" i="1"/>
  <c r="C1604" i="1"/>
  <c r="C1603" i="1"/>
  <c r="C1602" i="1"/>
  <c r="C1601" i="1"/>
  <c r="C1600" i="1"/>
  <c r="C1599" i="1"/>
  <c r="C1598" i="1"/>
  <c r="C1597" i="1"/>
  <c r="C1596" i="1"/>
  <c r="C1595" i="1"/>
  <c r="C1594" i="1"/>
  <c r="C1593" i="1"/>
  <c r="C1592" i="1"/>
  <c r="C1591" i="1"/>
  <c r="C1590" i="1"/>
  <c r="C1589" i="1"/>
  <c r="C1588" i="1"/>
  <c r="C1587" i="1"/>
  <c r="C1586" i="1"/>
  <c r="C1585" i="1"/>
  <c r="C1584" i="1"/>
  <c r="C1583" i="1"/>
  <c r="C1582" i="1"/>
  <c r="C1581" i="1"/>
  <c r="C1580" i="1"/>
  <c r="C1579" i="1"/>
  <c r="C1578" i="1"/>
  <c r="C1577" i="1"/>
  <c r="C1576" i="1"/>
  <c r="C1575" i="1"/>
  <c r="C1574" i="1"/>
  <c r="C1573" i="1"/>
  <c r="C1572" i="1"/>
  <c r="C1571" i="1"/>
  <c r="C1570" i="1"/>
  <c r="C1569" i="1"/>
  <c r="C1568" i="1"/>
  <c r="C1567" i="1"/>
  <c r="C1566" i="1"/>
  <c r="C1565" i="1"/>
  <c r="C1564" i="1"/>
  <c r="C1563" i="1"/>
  <c r="C1562" i="1"/>
  <c r="C1561" i="1"/>
  <c r="C1560" i="1"/>
  <c r="C1559" i="1"/>
  <c r="C1558" i="1"/>
  <c r="C1557" i="1"/>
  <c r="C1556" i="1"/>
  <c r="C1555" i="1"/>
  <c r="C1554" i="1"/>
  <c r="C1553" i="1"/>
  <c r="C1552" i="1"/>
  <c r="C1551" i="1"/>
  <c r="C1550" i="1"/>
  <c r="C1549" i="1"/>
  <c r="C1548" i="1"/>
  <c r="C1547" i="1"/>
  <c r="C1546" i="1"/>
  <c r="C1545" i="1"/>
  <c r="C1544" i="1"/>
  <c r="C1543" i="1"/>
  <c r="C1542" i="1"/>
  <c r="C1541" i="1"/>
  <c r="C1540" i="1"/>
  <c r="C1539" i="1"/>
  <c r="C1538" i="1"/>
  <c r="C1537" i="1"/>
  <c r="C1536" i="1"/>
  <c r="C1535" i="1"/>
  <c r="C1534" i="1"/>
  <c r="C1533" i="1"/>
  <c r="C1532" i="1"/>
  <c r="C1531" i="1"/>
  <c r="C1530" i="1"/>
  <c r="C1529" i="1"/>
  <c r="C1528" i="1"/>
  <c r="C1527" i="1"/>
  <c r="C1526" i="1"/>
  <c r="C1525" i="1"/>
  <c r="C1524" i="1"/>
  <c r="C1523" i="1"/>
  <c r="C1522" i="1"/>
  <c r="C1521" i="1"/>
  <c r="C1520" i="1"/>
  <c r="C1519" i="1"/>
  <c r="C1518" i="1"/>
  <c r="C1517" i="1"/>
  <c r="C1516" i="1"/>
  <c r="C1515" i="1"/>
  <c r="C1514" i="1"/>
  <c r="C1513" i="1"/>
  <c r="C1512" i="1"/>
  <c r="C1511" i="1"/>
  <c r="C1510" i="1"/>
  <c r="C1509" i="1"/>
  <c r="C1508" i="1"/>
  <c r="C1507" i="1"/>
  <c r="C1506" i="1"/>
  <c r="C1505" i="1"/>
  <c r="C1504" i="1"/>
  <c r="C1503" i="1"/>
  <c r="C1502" i="1"/>
  <c r="C1501" i="1"/>
  <c r="C1500" i="1"/>
  <c r="C1499" i="1"/>
  <c r="C1498" i="1"/>
  <c r="C1497" i="1"/>
  <c r="C1496" i="1"/>
  <c r="C1495" i="1"/>
  <c r="C1494" i="1"/>
  <c r="C1493" i="1"/>
  <c r="C1492" i="1"/>
  <c r="C1491" i="1"/>
  <c r="C1490" i="1"/>
  <c r="C1489" i="1"/>
  <c r="C1488" i="1"/>
  <c r="C1487" i="1"/>
  <c r="C1486" i="1"/>
  <c r="C1485" i="1"/>
  <c r="C1484" i="1"/>
  <c r="C1483" i="1"/>
  <c r="C1482" i="1"/>
  <c r="C1481" i="1"/>
  <c r="C1480" i="1"/>
  <c r="C1479" i="1"/>
  <c r="C1478" i="1"/>
  <c r="C1477" i="1"/>
  <c r="C1476" i="1"/>
  <c r="C1475" i="1"/>
  <c r="C1474" i="1"/>
  <c r="C1473" i="1"/>
  <c r="C1472" i="1"/>
  <c r="C1471" i="1"/>
  <c r="C1470" i="1"/>
  <c r="C1469" i="1"/>
  <c r="C1468" i="1"/>
  <c r="C1467" i="1"/>
  <c r="C1466" i="1"/>
  <c r="C1465" i="1"/>
  <c r="C1464" i="1"/>
  <c r="C1463" i="1"/>
  <c r="C1462" i="1"/>
  <c r="C1461" i="1"/>
  <c r="C1460" i="1"/>
  <c r="C1459" i="1"/>
  <c r="C1458" i="1"/>
  <c r="C1457" i="1"/>
  <c r="C1456" i="1"/>
  <c r="C1455" i="1"/>
  <c r="C1454" i="1"/>
  <c r="C1453" i="1"/>
  <c r="C1452" i="1"/>
  <c r="C1451" i="1"/>
  <c r="C1450" i="1"/>
  <c r="C1449" i="1"/>
  <c r="C1448" i="1"/>
  <c r="C1447" i="1"/>
  <c r="C1446" i="1"/>
  <c r="C1445" i="1"/>
  <c r="C1444" i="1"/>
  <c r="C1443" i="1"/>
  <c r="C1442" i="1"/>
  <c r="C1441" i="1"/>
  <c r="C1440" i="1"/>
  <c r="C1439" i="1"/>
  <c r="C1438" i="1"/>
  <c r="C1437" i="1"/>
  <c r="C1436" i="1"/>
  <c r="C1435" i="1"/>
  <c r="C1434" i="1"/>
  <c r="C1433" i="1"/>
  <c r="C1432" i="1"/>
  <c r="C1431" i="1"/>
  <c r="C1430" i="1"/>
  <c r="C1429" i="1"/>
  <c r="C1428" i="1"/>
  <c r="C1427" i="1"/>
  <c r="C1426" i="1"/>
  <c r="C1425" i="1"/>
  <c r="C1424" i="1"/>
  <c r="C1423" i="1"/>
  <c r="C1422" i="1"/>
  <c r="C1421" i="1"/>
  <c r="C1420" i="1"/>
  <c r="C1419" i="1"/>
  <c r="C1418" i="1"/>
  <c r="C1417" i="1"/>
  <c r="C1416" i="1"/>
  <c r="C1415" i="1"/>
  <c r="C1414" i="1"/>
  <c r="C1413" i="1"/>
  <c r="C1412" i="1"/>
  <c r="C1411" i="1"/>
  <c r="C1410" i="1"/>
  <c r="C1409" i="1"/>
  <c r="C1408" i="1"/>
  <c r="C1407" i="1"/>
  <c r="C1406" i="1"/>
  <c r="C1405" i="1"/>
  <c r="C1404" i="1"/>
  <c r="C1403" i="1"/>
  <c r="C1402" i="1"/>
  <c r="C1401" i="1"/>
  <c r="C1400" i="1"/>
  <c r="C1399" i="1"/>
  <c r="C1398" i="1"/>
  <c r="C1397" i="1"/>
  <c r="C1396" i="1"/>
  <c r="C1395" i="1"/>
  <c r="C1394" i="1"/>
  <c r="C1393" i="1"/>
  <c r="C1392" i="1"/>
  <c r="C1391" i="1"/>
  <c r="C1390" i="1"/>
  <c r="C1389" i="1"/>
  <c r="C1388" i="1"/>
  <c r="C1387" i="1"/>
  <c r="C1386" i="1"/>
  <c r="C1385" i="1"/>
  <c r="C1384" i="1"/>
  <c r="C1383" i="1"/>
  <c r="C1382" i="1"/>
  <c r="C1381" i="1"/>
  <c r="C1380" i="1"/>
  <c r="C1379" i="1"/>
  <c r="C1378" i="1"/>
  <c r="C1377" i="1"/>
  <c r="C1376" i="1"/>
  <c r="C1375" i="1"/>
  <c r="C1374" i="1"/>
  <c r="C1373" i="1"/>
  <c r="C1372" i="1"/>
  <c r="C1371" i="1"/>
  <c r="C1370" i="1"/>
  <c r="C1369" i="1"/>
  <c r="C1368" i="1"/>
  <c r="C1367" i="1"/>
  <c r="C1366" i="1"/>
  <c r="C1365" i="1"/>
  <c r="C1364" i="1"/>
  <c r="C1363" i="1"/>
  <c r="C1362" i="1"/>
  <c r="C1361" i="1"/>
  <c r="C1360" i="1"/>
  <c r="C1359" i="1"/>
  <c r="C1358" i="1"/>
  <c r="C1357" i="1"/>
  <c r="C1356" i="1"/>
  <c r="C1355" i="1"/>
  <c r="C1354" i="1"/>
  <c r="C1353" i="1"/>
  <c r="C1352" i="1"/>
  <c r="C1351" i="1"/>
  <c r="C1350" i="1"/>
  <c r="C1349" i="1"/>
  <c r="C1348" i="1"/>
  <c r="C1347" i="1"/>
  <c r="C1346" i="1"/>
  <c r="C1345" i="1"/>
  <c r="C1344" i="1"/>
  <c r="C1343" i="1"/>
  <c r="C1342" i="1"/>
  <c r="C1341" i="1"/>
  <c r="C1340" i="1"/>
  <c r="C1339" i="1"/>
  <c r="C1338" i="1"/>
  <c r="C1337" i="1"/>
  <c r="C1336" i="1"/>
  <c r="C1335" i="1"/>
  <c r="C1334" i="1"/>
  <c r="C1333" i="1"/>
  <c r="C1332" i="1"/>
  <c r="C1331" i="1"/>
  <c r="C1330" i="1"/>
  <c r="C1329" i="1"/>
  <c r="C1328" i="1"/>
  <c r="C1327" i="1"/>
  <c r="C1326" i="1"/>
  <c r="C1325" i="1"/>
  <c r="C1324" i="1"/>
  <c r="C1323" i="1"/>
  <c r="C1322" i="1"/>
  <c r="C1321" i="1"/>
  <c r="C1320" i="1"/>
  <c r="C1319" i="1"/>
  <c r="C1318" i="1"/>
  <c r="C1317" i="1"/>
  <c r="C1316" i="1"/>
  <c r="C1315" i="1"/>
  <c r="C1314" i="1"/>
  <c r="C1313" i="1"/>
  <c r="C1312" i="1"/>
  <c r="C1311" i="1"/>
  <c r="C1310" i="1"/>
  <c r="C1309" i="1"/>
  <c r="C1308" i="1"/>
  <c r="C1307" i="1"/>
  <c r="C1306" i="1"/>
  <c r="C1305" i="1"/>
  <c r="C1304" i="1"/>
  <c r="C1303" i="1"/>
  <c r="C1302" i="1"/>
  <c r="C1301" i="1"/>
  <c r="C1300" i="1"/>
  <c r="C1299" i="1"/>
  <c r="C1298" i="1"/>
  <c r="C1297" i="1"/>
  <c r="C1296" i="1"/>
  <c r="C1295" i="1"/>
  <c r="C1294" i="1"/>
  <c r="C1293" i="1"/>
  <c r="C1292" i="1"/>
  <c r="C1291" i="1"/>
  <c r="C1290" i="1"/>
  <c r="C1289" i="1"/>
  <c r="C1288" i="1"/>
  <c r="C1287" i="1"/>
  <c r="C1286" i="1"/>
  <c r="C1285" i="1"/>
  <c r="C1284" i="1"/>
  <c r="C1283" i="1"/>
  <c r="C1282" i="1"/>
  <c r="C1281" i="1"/>
  <c r="C1280" i="1"/>
  <c r="C1279" i="1"/>
  <c r="C1278" i="1"/>
  <c r="C1277" i="1"/>
  <c r="C1276" i="1"/>
  <c r="C1275" i="1"/>
  <c r="C1274" i="1"/>
  <c r="C1273" i="1"/>
  <c r="C1272" i="1"/>
  <c r="C1271" i="1"/>
  <c r="C1270" i="1"/>
  <c r="C1269" i="1"/>
  <c r="C1268" i="1"/>
  <c r="C1267" i="1"/>
  <c r="C1266" i="1"/>
  <c r="C1265" i="1"/>
  <c r="C1264" i="1"/>
  <c r="C1263" i="1"/>
  <c r="C1262" i="1"/>
  <c r="C1261" i="1"/>
  <c r="C1260" i="1"/>
  <c r="C1259" i="1"/>
  <c r="C1258" i="1"/>
  <c r="C1257" i="1"/>
  <c r="C1256" i="1"/>
  <c r="C1255" i="1"/>
  <c r="C1254" i="1"/>
  <c r="C1253" i="1"/>
  <c r="C1252" i="1"/>
  <c r="C1251" i="1"/>
  <c r="C1250" i="1"/>
  <c r="C1249" i="1"/>
  <c r="C1248" i="1"/>
  <c r="C1247" i="1"/>
  <c r="C1246" i="1"/>
  <c r="C1245" i="1"/>
  <c r="C1244" i="1"/>
  <c r="C1243" i="1"/>
  <c r="C1242" i="1"/>
  <c r="C1241" i="1"/>
  <c r="C1240" i="1"/>
  <c r="C1239" i="1"/>
  <c r="C1238" i="1"/>
  <c r="C1237" i="1"/>
  <c r="C1236" i="1"/>
  <c r="C1235" i="1"/>
  <c r="C1234" i="1"/>
  <c r="C1233" i="1"/>
  <c r="C1232" i="1"/>
  <c r="C1231" i="1"/>
  <c r="C1230" i="1"/>
  <c r="C1229" i="1"/>
  <c r="C1228" i="1"/>
  <c r="C1227" i="1"/>
  <c r="C1226" i="1"/>
  <c r="C1225" i="1"/>
  <c r="C1224" i="1"/>
  <c r="C1223" i="1"/>
  <c r="C1222" i="1"/>
  <c r="C1221" i="1"/>
  <c r="C1220" i="1"/>
  <c r="C1219" i="1"/>
  <c r="C1218" i="1"/>
  <c r="C1217" i="1"/>
  <c r="C1216" i="1"/>
  <c r="C1215" i="1"/>
  <c r="C1214" i="1"/>
  <c r="C1213" i="1"/>
  <c r="C1212" i="1"/>
  <c r="C1211" i="1"/>
  <c r="C1210" i="1"/>
  <c r="C1209" i="1"/>
  <c r="C1208" i="1"/>
  <c r="C1207" i="1"/>
  <c r="C1206" i="1"/>
  <c r="C1205" i="1"/>
  <c r="C1204" i="1"/>
  <c r="C1203" i="1"/>
  <c r="C1202" i="1"/>
  <c r="C1201" i="1"/>
  <c r="C1200" i="1"/>
  <c r="C1199" i="1"/>
  <c r="C1198" i="1"/>
  <c r="C1197" i="1"/>
  <c r="C1196" i="1"/>
  <c r="C1195" i="1"/>
  <c r="C1194" i="1"/>
  <c r="C1193" i="1"/>
  <c r="C1192" i="1"/>
  <c r="C1191" i="1"/>
  <c r="C1190" i="1"/>
  <c r="C1189" i="1"/>
  <c r="C1188" i="1"/>
  <c r="C1187" i="1"/>
  <c r="C1186" i="1"/>
  <c r="C1185" i="1"/>
  <c r="C1184" i="1"/>
  <c r="C1183" i="1"/>
  <c r="C1182" i="1"/>
  <c r="C1181" i="1"/>
  <c r="C1180" i="1"/>
  <c r="C1179" i="1"/>
  <c r="C1178" i="1"/>
  <c r="C1177" i="1"/>
  <c r="C1176" i="1"/>
  <c r="C1175" i="1"/>
  <c r="C1174" i="1"/>
  <c r="C1173" i="1"/>
  <c r="C1172" i="1"/>
  <c r="C1171" i="1"/>
  <c r="C1170" i="1"/>
  <c r="C1169" i="1"/>
  <c r="C1168" i="1"/>
  <c r="C1167" i="1"/>
  <c r="C1166" i="1"/>
  <c r="C1165" i="1"/>
  <c r="C1164" i="1"/>
  <c r="C1163" i="1"/>
  <c r="C1162" i="1"/>
  <c r="C1161" i="1"/>
  <c r="C1160" i="1"/>
  <c r="C1159" i="1"/>
  <c r="C1158" i="1"/>
  <c r="C1157" i="1"/>
  <c r="C1156" i="1"/>
  <c r="C1155" i="1"/>
  <c r="C1154" i="1"/>
  <c r="C1153" i="1"/>
  <c r="C1152" i="1"/>
  <c r="C1151" i="1"/>
  <c r="C1150" i="1"/>
  <c r="C1149" i="1"/>
  <c r="C1148" i="1"/>
  <c r="C1147" i="1"/>
  <c r="C1146" i="1"/>
  <c r="C1145" i="1"/>
  <c r="C1144" i="1"/>
  <c r="C1143" i="1"/>
  <c r="C1142" i="1"/>
  <c r="C1141" i="1"/>
  <c r="C1140" i="1"/>
  <c r="C1139" i="1"/>
  <c r="C1138" i="1"/>
  <c r="C1137" i="1"/>
  <c r="C1136" i="1"/>
  <c r="C1135" i="1"/>
  <c r="C1134" i="1"/>
  <c r="C1133" i="1"/>
  <c r="C1132" i="1"/>
  <c r="C1131" i="1"/>
  <c r="C1130" i="1"/>
  <c r="C1129" i="1"/>
  <c r="C1128" i="1"/>
  <c r="C1127" i="1"/>
  <c r="C1126" i="1"/>
  <c r="C1125" i="1"/>
  <c r="C1124" i="1"/>
  <c r="C1123" i="1"/>
  <c r="C1122" i="1"/>
  <c r="C1121" i="1"/>
  <c r="C1120" i="1"/>
  <c r="C1119" i="1"/>
  <c r="C1118" i="1"/>
  <c r="C1117" i="1"/>
  <c r="C1116" i="1"/>
  <c r="C1115" i="1"/>
  <c r="C1114" i="1"/>
  <c r="C1113" i="1"/>
  <c r="C1112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C1097" i="1"/>
  <c r="C1096" i="1"/>
  <c r="C1095" i="1"/>
  <c r="C1094" i="1"/>
  <c r="C1093" i="1"/>
  <c r="C1092" i="1"/>
  <c r="C1091" i="1"/>
  <c r="C1090" i="1"/>
  <c r="C1089" i="1"/>
  <c r="C1088" i="1"/>
  <c r="C1087" i="1"/>
  <c r="C1086" i="1"/>
  <c r="C1085" i="1"/>
  <c r="C1084" i="1"/>
  <c r="C1083" i="1"/>
  <c r="C1082" i="1"/>
  <c r="C1081" i="1"/>
  <c r="C1080" i="1"/>
  <c r="C1079" i="1"/>
  <c r="C1078" i="1"/>
  <c r="C1077" i="1"/>
  <c r="C1076" i="1"/>
  <c r="C1075" i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62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<sst xmlns="http://schemas.openxmlformats.org/spreadsheetml/2006/main" count="4861" uniqueCount="775">
  <si>
    <t>Дом</t>
  </si>
  <si>
    <t>Квартира</t>
  </si>
  <si>
    <t>Код плательщика</t>
  </si>
  <si>
    <t>Долг на сегодня</t>
  </si>
  <si>
    <t>Долг в месяцах</t>
  </si>
  <si>
    <t>1905 Года ул., дом. 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</si>
  <si>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</si>
  <si>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</si>
  <si>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</si>
  <si>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</si>
  <si>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</si>
  <si>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</si>
  <si>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</si>
  <si>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</si>
  <si>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</si>
  <si>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</si>
  <si>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</si>
  <si>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</si>
  <si>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</si>
  <si>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</si>
  <si>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</si>
  <si>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</si>
  <si>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</si>
  <si>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</si>
  <si>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20</t>
  </si>
  <si>
    <t>20А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</si>
  <si>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</si>
  <si>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</si>
  <si>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</si>
  <si>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</si>
  <si>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</si>
  <si>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</si>
  <si>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</si>
  <si>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</si>
  <si>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</si>
  <si>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</si>
  <si>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</si>
  <si>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</si>
  <si>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</si>
  <si>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</si>
  <si>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</si>
  <si>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</si>
  <si>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</si>
  <si>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</si>
  <si>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</si>
  <si>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</si>
  <si>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</si>
  <si>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</si>
  <si>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</si>
  <si>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</si>
  <si>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</si>
  <si>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</si>
  <si>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</si>
  <si>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</si>
  <si>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</si>
  <si>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</si>
  <si>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</si>
  <si>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</si>
  <si>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</si>
  <si>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</si>
  <si>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</si>
  <si>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</si>
  <si>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</si>
  <si>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</si>
  <si>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</si>
  <si>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</si>
  <si>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</si>
  <si>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</si>
  <si>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</si>
  <si>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</si>
  <si>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</si>
  <si>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</si>
  <si>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</si>
  <si>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</si>
  <si>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</si>
  <si>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</si>
  <si>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</si>
  <si>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</si>
  <si>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</si>
  <si>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</si>
  <si>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</si>
  <si>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</si>
  <si>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</si>
  <si>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</si>
  <si>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</si>
  <si>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</si>
  <si>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</si>
  <si>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</si>
  <si>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</si>
  <si>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</si>
  <si>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</si>
  <si>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</si>
  <si>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1905 Года ул., дом. 3</t>
  </si>
  <si>
    <t>14</t>
  </si>
  <si>
    <t>43</t>
  </si>
  <si>
    <t>44</t>
  </si>
  <si>
    <t>89</t>
  </si>
  <si>
    <t>90</t>
  </si>
  <si>
    <t>91</t>
  </si>
  <si>
    <t>92</t>
  </si>
  <si>
    <t>93</t>
  </si>
  <si>
    <t>94</t>
  </si>
  <si>
    <t>95</t>
  </si>
  <si>
    <t>96</t>
  </si>
  <si>
    <t>1905 Года ул., дом. 4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</si>
  <si>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</si>
  <si>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</si>
  <si>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</si>
  <si>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</si>
  <si>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</si>
  <si>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</si>
  <si>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</si>
  <si>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</si>
  <si>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</si>
  <si>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</si>
  <si>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</si>
  <si>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</si>
  <si>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</si>
  <si>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</si>
  <si>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</si>
  <si>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</si>
  <si>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</si>
  <si>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</si>
  <si>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</si>
  <si>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</si>
  <si>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</si>
  <si>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</si>
  <si>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</si>
  <si>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</si>
  <si>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</si>
  <si>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</si>
  <si>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</si>
  <si>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</si>
  <si>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</si>
  <si>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</si>
  <si>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</si>
  <si>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1905 Года ул., дом. 5</t>
  </si>
  <si>
    <t>111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</si>
  <si>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</si>
  <si>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</si>
  <si>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</si>
  <si>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</si>
  <si>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</si>
  <si>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</si>
  <si>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</si>
  <si>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</si>
  <si>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</si>
  <si>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</si>
  <si>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</si>
  <si>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</si>
  <si>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</si>
  <si>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</si>
  <si>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</si>
  <si>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</si>
  <si>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</si>
  <si>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</si>
  <si>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150</t>
  </si>
  <si>
    <t>151</t>
  </si>
  <si>
    <t>152</t>
  </si>
  <si>
    <t>153</t>
  </si>
  <si>
    <t>154</t>
  </si>
  <si>
    <t>155</t>
  </si>
  <si>
    <t>156</t>
  </si>
  <si>
    <t>157</t>
  </si>
  <si>
    <t>159</t>
  </si>
  <si>
    <t>162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</si>
  <si>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</si>
  <si>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</si>
  <si>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</si>
  <si>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</si>
  <si>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</si>
  <si>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</si>
  <si>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</si>
  <si>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</si>
  <si>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</si>
  <si>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</si>
  <si>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176</t>
  </si>
  <si>
    <t>177</t>
  </si>
  <si>
    <t>178</t>
  </si>
  <si>
    <t>179</t>
  </si>
  <si>
    <t>182</t>
  </si>
  <si>
    <t>183</t>
  </si>
  <si>
    <t>184</t>
  </si>
  <si>
    <t>185</t>
  </si>
  <si>
    <t>186</t>
  </si>
  <si>
    <t>187</t>
  </si>
  <si>
    <t>188</t>
  </si>
  <si>
    <t>189</t>
  </si>
  <si>
    <t>191</t>
  </si>
  <si>
    <t>192</t>
  </si>
  <si>
    <t>193</t>
  </si>
  <si>
    <t>194</t>
  </si>
  <si>
    <t>195</t>
  </si>
  <si>
    <t>196</t>
  </si>
  <si>
    <t>197</t>
  </si>
  <si>
    <t>198</t>
  </si>
  <si>
    <t>202</t>
  </si>
  <si>
    <t>204</t>
  </si>
  <si>
    <t>206</t>
  </si>
  <si>
    <t>207</t>
  </si>
  <si>
    <t>210</t>
  </si>
  <si>
    <t>211</t>
  </si>
  <si>
    <t>212</t>
  </si>
  <si>
    <t>213</t>
  </si>
  <si>
    <t>216</t>
  </si>
  <si>
    <t>217</t>
  </si>
  <si>
    <t>218</t>
  </si>
  <si>
    <t>220</t>
  </si>
  <si>
    <t>223</t>
  </si>
  <si>
    <t>224</t>
  </si>
  <si>
    <t>225</t>
  </si>
  <si>
    <t>226</t>
  </si>
  <si>
    <t>227</t>
  </si>
  <si>
    <t>228</t>
  </si>
  <si>
    <t>230</t>
  </si>
  <si>
    <t>233</t>
  </si>
  <si>
    <t>234</t>
  </si>
  <si>
    <t>235</t>
  </si>
  <si>
    <t>236</t>
  </si>
  <si>
    <t>1905 Года ул., дом. 9 стр.1</t>
  </si>
  <si>
    <t>1905 Года ул., дом. 9 стр.2</t>
  </si>
  <si>
    <t>1905 Года ул., дом. 11 стр.1</t>
  </si>
  <si>
    <t>1905 Года ул., дом. 15</t>
  </si>
  <si>
    <t>148</t>
  </si>
  <si>
    <t>149</t>
  </si>
  <si>
    <t>1905 Года ул., дом. 16</t>
  </si>
  <si>
    <t>1905 Года ул., дом. 17</t>
  </si>
  <si>
    <t>1905 Года ул., дом. 19</t>
  </si>
  <si>
    <t>1905 Года ул., дом. 21</t>
  </si>
  <si>
    <t>17-18</t>
  </si>
  <si>
    <t>1905 Года ул., дом. 23</t>
  </si>
  <si>
    <t>Анатолия Живова ул., дом. 1</t>
  </si>
  <si>
    <t>Анатолия Живова ул., дом. 3</t>
  </si>
  <si>
    <t>Анатолия Живова ул., дом. 4</t>
  </si>
  <si>
    <t>Анатолия Живова ул., дом. 6</t>
  </si>
  <si>
    <t>Анатолия Живова ул., дом. 8</t>
  </si>
  <si>
    <t>Анатолия Живова ул., дом. 10</t>
  </si>
  <si>
    <t>Анны Северьяновой ул., дом. 1/14</t>
  </si>
  <si>
    <t>Анны Северьяновой ул., дом. 3 стр.3</t>
  </si>
  <si>
    <t>Антонова-Овсеенко ул., дом. 2 стр.1</t>
  </si>
  <si>
    <t>Антонова-Овсеенко ул., дом. 5 к.2</t>
  </si>
  <si>
    <t>Баррикадная ул., дом. 8г</t>
  </si>
  <si>
    <t>Богословский пер., дом. 3</t>
  </si>
  <si>
    <t>Богословский пер., дом. 5</t>
  </si>
  <si>
    <t>Богословский пер., дом. 7</t>
  </si>
  <si>
    <t>Богословский пер., дом. 16/6 стр.1</t>
  </si>
  <si>
    <t>Брестская 2-я ул., дом. 31</t>
  </si>
  <si>
    <t>Брестская 2-я ул., дом. 37 стр.1</t>
  </si>
  <si>
    <t>Брестская 2-я ул., дом. 43</t>
  </si>
  <si>
    <t>Бронная Б. ул., дом. 2/6</t>
  </si>
  <si>
    <t>Бронная Б. ул., дом. 5 стр.1</t>
  </si>
  <si>
    <t>Бронная Б. ул., дом. 7</t>
  </si>
  <si>
    <t>Бронная Б. ул., дом. 8</t>
  </si>
  <si>
    <t>Бронная Б. ул., дом. 17</t>
  </si>
  <si>
    <t>Бронная Б. ул., дом. 23 стр.2</t>
  </si>
  <si>
    <t>Бронная М. ул., дом. 4</t>
  </si>
  <si>
    <t>Бронная М. ул., дом. 13</t>
  </si>
  <si>
    <t>Бронная М. ул., дом. 14</t>
  </si>
  <si>
    <t>Бронная М. ул., дом. 16</t>
  </si>
  <si>
    <t>Бронная М. ул., дом. 18 стр.1</t>
  </si>
  <si>
    <t>Бронная М. ул., дом. 19А</t>
  </si>
  <si>
    <t>Бронная М. ул., дом. 20а</t>
  </si>
  <si>
    <t>Бронная М. ул., дом. 20 стр.1</t>
  </si>
  <si>
    <t>Бронная М. ул., дом. 20 стр.2</t>
  </si>
  <si>
    <t>Бронная М. ул., дом. 21/13 стр.1</t>
  </si>
  <si>
    <t>Бронная М. ул., дом. 21/13 стр.2</t>
  </si>
  <si>
    <t>Бронная М. ул., дом. 22 стр.1</t>
  </si>
  <si>
    <t>Бронная М. ул., дом. 22 стр.2</t>
  </si>
  <si>
    <t>Бронная М. ул., дом. 27/14</t>
  </si>
  <si>
    <t>30а</t>
  </si>
  <si>
    <t>Бронная М. ул., дом. 31/13 стр.3</t>
  </si>
  <si>
    <t>Бронная М. ул., дом. 32</t>
  </si>
  <si>
    <t>Бронная М. ул., дом. 42/14</t>
  </si>
  <si>
    <t>Брюсов пер., дом. 2/14 стр.1</t>
  </si>
  <si>
    <t>Васильевская ул., дом. 2 к.1</t>
  </si>
  <si>
    <t>Васильевская ул., дом. 2 к.2</t>
  </si>
  <si>
    <t>Васильевская ул., дом. 3</t>
  </si>
  <si>
    <t>Васильевская ул., дом. 4</t>
  </si>
  <si>
    <t>180</t>
  </si>
  <si>
    <t>239</t>
  </si>
  <si>
    <t>243</t>
  </si>
  <si>
    <t>244</t>
  </si>
  <si>
    <t>250</t>
  </si>
  <si>
    <t>251</t>
  </si>
  <si>
    <t>252</t>
  </si>
  <si>
    <t>254</t>
  </si>
  <si>
    <t>257</t>
  </si>
  <si>
    <t>259</t>
  </si>
  <si>
    <t>260</t>
  </si>
  <si>
    <t>261</t>
  </si>
  <si>
    <t>263</t>
  </si>
  <si>
    <t>265</t>
  </si>
  <si>
    <t>266</t>
  </si>
  <si>
    <t>270</t>
  </si>
  <si>
    <t>Васильевская ул., дом. 5</t>
  </si>
  <si>
    <t>Васильевская ул., дом. 7</t>
  </si>
  <si>
    <t>Васильевская ул., дом. 9</t>
  </si>
  <si>
    <t>Волков пер., дом. 5</t>
  </si>
  <si>
    <t>Волков пер., дом. 7-9 стр.1</t>
  </si>
  <si>
    <t>Волков пер., дом. 7-9 стр.2</t>
  </si>
  <si>
    <t>Волков пер., дом. 7-9 стр.3</t>
  </si>
  <si>
    <t>Волков пер., дом. 9 стр.1</t>
  </si>
  <si>
    <t>Волков пер., дом. 17</t>
  </si>
  <si>
    <t>Вспольный пер., дом. 10</t>
  </si>
  <si>
    <t>Вспольный пер., дом. 16 стр.1</t>
  </si>
  <si>
    <t>Вспольный пер., дом. 16 стр.2</t>
  </si>
  <si>
    <t>Вспольный пер., дом. 17</t>
  </si>
  <si>
    <t>Гашека ул., дом. 9</t>
  </si>
  <si>
    <t>Гашека ул., дом. 11</t>
  </si>
  <si>
    <t>Глубокий пер., дом. 1/2</t>
  </si>
  <si>
    <t>242</t>
  </si>
  <si>
    <t>276</t>
  </si>
  <si>
    <t>Гранатный пер., дом. 2 стр.1</t>
  </si>
  <si>
    <t>Гранатный пер., дом. 2 стр.2</t>
  </si>
  <si>
    <t>Гранатный пер., дом. 11 стр.2</t>
  </si>
  <si>
    <t>6А</t>
  </si>
  <si>
    <t>Гранатный пер., дом. 11 стр.3</t>
  </si>
  <si>
    <t>Грузинская Б. ул., дом. 12</t>
  </si>
  <si>
    <t>Грузинская Б. ул., дом. 15 стр.2</t>
  </si>
  <si>
    <t>Грузинская Б. ул., дом. 16</t>
  </si>
  <si>
    <t>Грузинская Б. ул., дом. 18</t>
  </si>
  <si>
    <t>Грузинская Б. ул., дом. 22</t>
  </si>
  <si>
    <t>Грузинская Б. ул., дом. 32 стр.10</t>
  </si>
  <si>
    <t>Грузинская Б. ул., дом. 36 стр.3</t>
  </si>
  <si>
    <t>Грузинская Б. ул., дом. 36 А стр.5</t>
  </si>
  <si>
    <t>Грузинская Б. ул., дом. 37</t>
  </si>
  <si>
    <t>Грузинская Б. ул., дом. 39</t>
  </si>
  <si>
    <t>Грузинская Б. ул., дом. 40 к.1</t>
  </si>
  <si>
    <t>Грузинская Б. ул., дом. 40 к.2</t>
  </si>
  <si>
    <t>Грузинская Б. ул., дом. 42</t>
  </si>
  <si>
    <t>Грузинская Б. ул., дом. 56</t>
  </si>
  <si>
    <t>Грузинская Б. ул., дом. 57 стр.1</t>
  </si>
  <si>
    <t>Грузинская Б. ул., дом. 58</t>
  </si>
  <si>
    <t>Грузинская Б. ул., дом. 62</t>
  </si>
  <si>
    <t>Грузинская Б. ул., дом. 63 стр.1</t>
  </si>
  <si>
    <t>Грузинская М. ул., дом. 3-9</t>
  </si>
  <si>
    <t>Грузинская М. ул., дом. 12</t>
  </si>
  <si>
    <t>Грузинская М. ул., дом. 21</t>
  </si>
  <si>
    <t>Грузинская М. ул., дом. 29</t>
  </si>
  <si>
    <t>Грузинская М. ул., дом. 29 стр.1</t>
  </si>
  <si>
    <t>Грузинская М. ул., дом. 29 стр.3</t>
  </si>
  <si>
    <t>Грузинская М. ул., дом. 31</t>
  </si>
  <si>
    <t>Грузинская М. ул., дом. 33</t>
  </si>
  <si>
    <t>Грузинская М. ул., дом. 35</t>
  </si>
  <si>
    <t>Грузинская М. ул., дом. 38</t>
  </si>
  <si>
    <t>Грузинская М. ул., дом. 41</t>
  </si>
  <si>
    <t>Грузинская М. ул., дом. 43</t>
  </si>
  <si>
    <t>Грузинская М. ул., дом. 46</t>
  </si>
  <si>
    <t>Грузинский вал ул., дом. 14</t>
  </si>
  <si>
    <t>Грузинский вал ул., дом. 18/15</t>
  </si>
  <si>
    <t>Грузинский вал ул., дом. 26 стр.1</t>
  </si>
  <si>
    <t>Грузинский вал ул., дом. 26 стр.2</t>
  </si>
  <si>
    <t>Грузинский вал ул., дом. 26 стр.3</t>
  </si>
  <si>
    <t>Грузинский вал ул., дом. 28/45</t>
  </si>
  <si>
    <t>Грузинский пер., дом. 4</t>
  </si>
  <si>
    <t>Грузинский пер., дом. 6</t>
  </si>
  <si>
    <t>Грузинский пер., дом. 8</t>
  </si>
  <si>
    <t>Грузинский пер., дом. 10</t>
  </si>
  <si>
    <t>Грузинский пер., дом. 12</t>
  </si>
  <si>
    <t>Грузинский пер., дом. 14</t>
  </si>
  <si>
    <t>Грузинский пер., дом. 16</t>
  </si>
  <si>
    <t>Декабрьская Б. ул., дом. 1</t>
  </si>
  <si>
    <t>Декабрьская Б. ул., дом. 4</t>
  </si>
  <si>
    <t>Декабрьская Б. ул., дом. 6</t>
  </si>
  <si>
    <t>Декабрьская Б. ул., дом. 8</t>
  </si>
  <si>
    <t>Декабрьская Б. ул., дом. 10</t>
  </si>
  <si>
    <t>Ермолаевский пер., дом. 4</t>
  </si>
  <si>
    <t>Ермолаевский пер., дом. 7</t>
  </si>
  <si>
    <t>Ермолаевский пер., дом. 10/7</t>
  </si>
  <si>
    <t>Ермолаевский пер., дом. 16</t>
  </si>
  <si>
    <t>Ермолаевский пер., дом. 18а</t>
  </si>
  <si>
    <t>Ермолаевский пер., дом. 21</t>
  </si>
  <si>
    <t>Заморенова ул., дом. 14-16</t>
  </si>
  <si>
    <t>Заморенова ул., дом. 17</t>
  </si>
  <si>
    <t>Заморенова ул., дом. 18</t>
  </si>
  <si>
    <t>Заморенова ул., дом. 40</t>
  </si>
  <si>
    <t>Звенигородское шоссе, дом. 2</t>
  </si>
  <si>
    <t>Звенигородское шоссе, дом. 3а стр.1</t>
  </si>
  <si>
    <t>Звенигородское шоссе, дом. 7</t>
  </si>
  <si>
    <t>Звенигородское шоссе, дом. 9/27 стр.1</t>
  </si>
  <si>
    <t>Звенигородское шоссе, дом. 13</t>
  </si>
  <si>
    <t>Зоологическая ул., дом. 2</t>
  </si>
  <si>
    <t>Зоологическая ул., дом. 3</t>
  </si>
  <si>
    <t>Зоологическая ул., дом. 4</t>
  </si>
  <si>
    <t>Зоологическая ул., дом. 10</t>
  </si>
  <si>
    <t>Зоологическая ул., дом. 12 к.1</t>
  </si>
  <si>
    <t>Зоологическая ул., дом. 12 к.2</t>
  </si>
  <si>
    <t>Зоологическая ул., дом. 22</t>
  </si>
  <si>
    <t>Зоологическая ул., дом. 26 стр.1</t>
  </si>
  <si>
    <t>Зоологическая ул., дом. 26 стр.2</t>
  </si>
  <si>
    <t>Зоологическая ул., дом. 28 стр.2</t>
  </si>
  <si>
    <t>99а</t>
  </si>
  <si>
    <t>Зоологическая ул., дом. 30 к.2</t>
  </si>
  <si>
    <t>Зоологическая ул., дом. 32</t>
  </si>
  <si>
    <t>Зоологический пер., дом. 4-6</t>
  </si>
  <si>
    <t>Зоологический пер., дом. 9-11</t>
  </si>
  <si>
    <t>Кисловский Ср. пер., дом. 7/10</t>
  </si>
  <si>
    <t>Климашкина ул., дом. 1 стр.1</t>
  </si>
  <si>
    <t>Климашкина ул., дом. 10</t>
  </si>
  <si>
    <t>Климашкина ул., дом. 12</t>
  </si>
  <si>
    <t>Климашкина ул., дом. 14</t>
  </si>
  <si>
    <t>Климашкина ул., дом. 20</t>
  </si>
  <si>
    <t>Климашкина ул., дом. 21</t>
  </si>
  <si>
    <t>Климашкина ул., дом. 22</t>
  </si>
  <si>
    <t>Климашкина ул., дом. 24</t>
  </si>
  <si>
    <t>Климашкина ул., дом. 26</t>
  </si>
  <si>
    <t>Козихинский Б. пер., дом. 1/9 стр.1</t>
  </si>
  <si>
    <t>Козихинский Б. пер., дом. 4</t>
  </si>
  <si>
    <t>Козихинский Б. пер., дом. 6</t>
  </si>
  <si>
    <t>Козихинский Б. пер., дом. 8</t>
  </si>
  <si>
    <t>Козихинский Б. пер., дом. 10</t>
  </si>
  <si>
    <t>Козихинский Б. пер., дом. 12/2</t>
  </si>
  <si>
    <t>Козихинский Б. пер., дом. 17 стр.1</t>
  </si>
  <si>
    <t>Козихинский Б. пер., дом. 19/6</t>
  </si>
  <si>
    <t>Козихинский Б. пер., дом. 23</t>
  </si>
  <si>
    <t>Козихинский Б. пер., дом. 27 стр.1</t>
  </si>
  <si>
    <t>Козихинский Б. пер., дом. 27 стр.2</t>
  </si>
  <si>
    <t>Козихинский Б. пер., дом. 31 стр.2</t>
  </si>
  <si>
    <t>Козихинский М. пер., дом. 4</t>
  </si>
  <si>
    <t>Козихинский М. пер., дом. 12</t>
  </si>
  <si>
    <t>Козихинский М. пер., дом. 16/3</t>
  </si>
  <si>
    <t>15А</t>
  </si>
  <si>
    <t>Кондратьевский Б. пер., дом. 4 к.2</t>
  </si>
  <si>
    <t>Кондратьевский Б. пер., дом. 4 к.3</t>
  </si>
  <si>
    <t>Кондратьевский Б. пер., дом. 4 стр.1</t>
  </si>
  <si>
    <t>Кондратьевский Б. пер., дом. 6</t>
  </si>
  <si>
    <t>Кондратьевский Б. пер., дом. 8 стр.1</t>
  </si>
  <si>
    <t>Кондратьевский Б. пер., дом. 10 стр.1</t>
  </si>
  <si>
    <t>Кондратьевский Б. пер., дом. 12 стр.1</t>
  </si>
  <si>
    <t>Кондратьевский Б. пер., дом. 14 стр.1</t>
  </si>
  <si>
    <t>Кондратьевский Ср. пер., дом. 10</t>
  </si>
  <si>
    <t>Костикова ул., дом. 1</t>
  </si>
  <si>
    <t>Костикова ул., дом. 3</t>
  </si>
  <si>
    <t>Костикова ул., дом. 5</t>
  </si>
  <si>
    <t>Костикова ул., дом. 7</t>
  </si>
  <si>
    <t>Красина ул., дом. 7 стр.2</t>
  </si>
  <si>
    <t>Красина ул., дом. 7 стр.3</t>
  </si>
  <si>
    <t>Красина ул., дом. 9 стр.2</t>
  </si>
  <si>
    <t>Красина ул., дом. 13</t>
  </si>
  <si>
    <t>Красина ул., дом. 17</t>
  </si>
  <si>
    <t>Красина ул., дом. 19 стр.1</t>
  </si>
  <si>
    <t>Красина ул., дом. 24</t>
  </si>
  <si>
    <t>Красина ул., дом. 24-28</t>
  </si>
  <si>
    <t>Красная Пресня ул., дом. 8</t>
  </si>
  <si>
    <t>Красная Пресня ул., дом. 9</t>
  </si>
  <si>
    <t>Красная Пресня ул., дом. 11</t>
  </si>
  <si>
    <t>Красная Пресня ул., дом. 12</t>
  </si>
  <si>
    <t>Красная Пресня ул., дом. 14</t>
  </si>
  <si>
    <t>Красная Пресня ул., дом. 23 стр.1а</t>
  </si>
  <si>
    <t>Красная Пресня ул., дом. 23 стр.1 к.Б</t>
  </si>
  <si>
    <t>280</t>
  </si>
  <si>
    <t>286</t>
  </si>
  <si>
    <t>288</t>
  </si>
  <si>
    <t>289</t>
  </si>
  <si>
    <t>344</t>
  </si>
  <si>
    <t>Красная Пресня ул., дом. 32-34</t>
  </si>
  <si>
    <t>Красная Пресня ул., дом. 36 стр.1</t>
  </si>
  <si>
    <t>Красная Пресня ул., дом. 36 стр.2</t>
  </si>
  <si>
    <t>Красная Пресня ул., дом. 38</t>
  </si>
  <si>
    <t>Красногвардейская 3-я ул., дом. 2</t>
  </si>
  <si>
    <t>Красногвардейская 3-я ул., дом. 6</t>
  </si>
  <si>
    <t>Красногвардейская 3-я ул., дом. 8 стр.1</t>
  </si>
  <si>
    <t>Красногвардейский 1-й пр., дом. 4 стр.1 к.а</t>
  </si>
  <si>
    <t>Красногвардейский 1-й пр., дом. 4 стр.2 к.Б</t>
  </si>
  <si>
    <t>Красногвардейский 1-й пр., дом. 6</t>
  </si>
  <si>
    <t>Красногвардейский 1-й пр., дом. 8</t>
  </si>
  <si>
    <t>Красногвардейский 1-й пр., дом. 18 к.2</t>
  </si>
  <si>
    <t>Красногвардейский 2-й пр., дом. 6б</t>
  </si>
  <si>
    <t>Красногвардейский 2-й пр., дом. 6в</t>
  </si>
  <si>
    <t>Красногвардейский 2-й пр., дом. 8а</t>
  </si>
  <si>
    <t>Красногвардейский бульв., дом. 1</t>
  </si>
  <si>
    <t>Красногвардейский бульв., дом. 3а</t>
  </si>
  <si>
    <t>Красногвардейский бульв., дом. 3 стр.1</t>
  </si>
  <si>
    <t>Красногвардейский бульв., дом. 5 к.1</t>
  </si>
  <si>
    <t>Красногвардейский бульв., дом. 5 к.2</t>
  </si>
  <si>
    <t>Красногвардейский бульв., дом. 7а</t>
  </si>
  <si>
    <t>Красногвардейский бульв., дом. 9</t>
  </si>
  <si>
    <t>Красногвардейский бульв., дом. 11/1</t>
  </si>
  <si>
    <t>Красногвардейский бульв., дом. 15 стр.1</t>
  </si>
  <si>
    <t>Краснопресненская наб., дом. 2/1</t>
  </si>
  <si>
    <t>Литвина-Седого ул., дом. 2/13 стр.1 к.В</t>
  </si>
  <si>
    <t>Литвина-Седого ул., дом. 2/13 стр.2 к.Б</t>
  </si>
  <si>
    <t>Литвина-Седого ул., дом. 2/13 стр.3 к.А</t>
  </si>
  <si>
    <t>Литвина-Седого ул., дом. 5а</t>
  </si>
  <si>
    <t>Литвина-Седого ул., дом. 7</t>
  </si>
  <si>
    <t>Литвина-Седого ул., дом. 7а</t>
  </si>
  <si>
    <t>Литвина-Седого ул., дом. 10</t>
  </si>
  <si>
    <t>Мантулинская ул., дом. 2</t>
  </si>
  <si>
    <t>Мантулинская ул., дом. 10</t>
  </si>
  <si>
    <t>Мантулинская ул., дом. 12</t>
  </si>
  <si>
    <t>Мантулинская ул., дом. 16</t>
  </si>
  <si>
    <t>Мантулинская ул., дом. 18</t>
  </si>
  <si>
    <t>Мантулинская ул., дом. 20</t>
  </si>
  <si>
    <t>Мукомольный пр., дом. 2</t>
  </si>
  <si>
    <t>353</t>
  </si>
  <si>
    <t>370</t>
  </si>
  <si>
    <t>400</t>
  </si>
  <si>
    <t>403</t>
  </si>
  <si>
    <t>421</t>
  </si>
  <si>
    <t>427</t>
  </si>
  <si>
    <t>455</t>
  </si>
  <si>
    <t>456</t>
  </si>
  <si>
    <t>470</t>
  </si>
  <si>
    <t>472</t>
  </si>
  <si>
    <t>478</t>
  </si>
  <si>
    <t>480</t>
  </si>
  <si>
    <t>512</t>
  </si>
  <si>
    <t>546</t>
  </si>
  <si>
    <t>559</t>
  </si>
  <si>
    <t>577</t>
  </si>
  <si>
    <t>583</t>
  </si>
  <si>
    <t>597</t>
  </si>
  <si>
    <t>602</t>
  </si>
  <si>
    <t>603</t>
  </si>
  <si>
    <t>605</t>
  </si>
  <si>
    <t>613</t>
  </si>
  <si>
    <t>617</t>
  </si>
  <si>
    <t>620</t>
  </si>
  <si>
    <t>627</t>
  </si>
  <si>
    <t>642</t>
  </si>
  <si>
    <t>646</t>
  </si>
  <si>
    <t>653</t>
  </si>
  <si>
    <t>664</t>
  </si>
  <si>
    <t>666</t>
  </si>
  <si>
    <t>673</t>
  </si>
  <si>
    <t>690</t>
  </si>
  <si>
    <t>761</t>
  </si>
  <si>
    <t>762</t>
  </si>
  <si>
    <t>781</t>
  </si>
  <si>
    <t>782</t>
  </si>
  <si>
    <t>808</t>
  </si>
  <si>
    <t>826</t>
  </si>
  <si>
    <t>866</t>
  </si>
  <si>
    <t>872</t>
  </si>
  <si>
    <t>907</t>
  </si>
  <si>
    <t>920</t>
  </si>
  <si>
    <t>927</t>
  </si>
  <si>
    <t>932</t>
  </si>
  <si>
    <t>943</t>
  </si>
  <si>
    <t>944</t>
  </si>
  <si>
    <t>987</t>
  </si>
  <si>
    <t>1004</t>
  </si>
  <si>
    <t>1021</t>
  </si>
  <si>
    <t>1032</t>
  </si>
  <si>
    <t>1034</t>
  </si>
  <si>
    <t>1049</t>
  </si>
  <si>
    <t>1061</t>
  </si>
  <si>
    <t>1096</t>
  </si>
  <si>
    <t>1115</t>
  </si>
  <si>
    <t>1155</t>
  </si>
  <si>
    <t>1160</t>
  </si>
  <si>
    <t>1162</t>
  </si>
  <si>
    <t>1165</t>
  </si>
  <si>
    <t>1173</t>
  </si>
  <si>
    <t>1195</t>
  </si>
  <si>
    <t>1228</t>
  </si>
  <si>
    <t>1238</t>
  </si>
  <si>
    <t>1243</t>
  </si>
  <si>
    <t>1246</t>
  </si>
  <si>
    <t>1249</t>
  </si>
  <si>
    <t>1251</t>
  </si>
  <si>
    <t>1255</t>
  </si>
  <si>
    <t>1264</t>
  </si>
  <si>
    <t>1292</t>
  </si>
  <si>
    <t>1295</t>
  </si>
  <si>
    <t>1302</t>
  </si>
  <si>
    <t>1305</t>
  </si>
  <si>
    <t>1330</t>
  </si>
  <si>
    <t>1366</t>
  </si>
  <si>
    <t>1370</t>
  </si>
  <si>
    <t>1371</t>
  </si>
  <si>
    <t>1390</t>
  </si>
  <si>
    <t>1395</t>
  </si>
  <si>
    <t>1441</t>
  </si>
  <si>
    <t>Никитская Б. ул., дом. 24/1 стр.2</t>
  </si>
  <si>
    <t>Никитская Б. ул., дом. 49</t>
  </si>
  <si>
    <t>Никитская М. ул., дом. 2/1 стр.1</t>
  </si>
  <si>
    <t>Никитская М. ул., дом. 10</t>
  </si>
  <si>
    <t>Никитская М. ул., дом. 14 стр.1</t>
  </si>
  <si>
    <t>Никитская М. ул., дом. 16/5</t>
  </si>
  <si>
    <t>29А</t>
  </si>
  <si>
    <t>Новопресненский пер., дом. 7</t>
  </si>
  <si>
    <t>Новопресненский пер., дом. 7 стр.2</t>
  </si>
  <si>
    <t>Палашевский Б. пер., дом. 1/14 стр.5</t>
  </si>
  <si>
    <t>Палашевский Б. пер., дом. 12 стр.1</t>
  </si>
  <si>
    <t>11А</t>
  </si>
  <si>
    <t>Палашевский Б. пер., дом. 14а</t>
  </si>
  <si>
    <t>Палашевский Б. пер., дом. 14/7 стр.1</t>
  </si>
  <si>
    <t>Патриарший Б. пер., дом. 4</t>
  </si>
  <si>
    <t>Патриарший Б. пер., дом. 8 стр.1</t>
  </si>
  <si>
    <t>14А</t>
  </si>
  <si>
    <t>40А</t>
  </si>
  <si>
    <t>Патриарший Б. пер., дом. 10</t>
  </si>
  <si>
    <t>Патриарший Б. пер., дом. 12 стр.1</t>
  </si>
  <si>
    <t>Патриарший Б. пер., дом. 12 стр.2</t>
  </si>
  <si>
    <t>Патриарший М. пер., дом. 3</t>
  </si>
  <si>
    <t>Патриарший М. пер., дом. 5 стр.1</t>
  </si>
  <si>
    <t>Патриарший М. пер., дом. 5 стр.2</t>
  </si>
  <si>
    <t>Подвойского ул., дом. 4</t>
  </si>
  <si>
    <t>Подвойского ул., дом. 6</t>
  </si>
  <si>
    <t>Подвойского ул., дом. 8</t>
  </si>
  <si>
    <t>Подвойского ул., дом. 10</t>
  </si>
  <si>
    <t>Подвойского ул., дом. 14</t>
  </si>
  <si>
    <t>Подвойского ул., дом. 16</t>
  </si>
  <si>
    <t>Подвойского ул., дом. 20</t>
  </si>
  <si>
    <t>Подвойского ул., дом. 22</t>
  </si>
  <si>
    <t>Подвойского ул., дом. 24</t>
  </si>
  <si>
    <t>Подвойского ул., дом. 26</t>
  </si>
  <si>
    <t>Пресненский вал ул., дом. 3</t>
  </si>
  <si>
    <t>Пресненский вал ул., дом. 4/29</t>
  </si>
  <si>
    <t>Пресненский вал ул., дом. 5 стр.1</t>
  </si>
  <si>
    <t>Пресненский вал ул., дом. 7 стр.1</t>
  </si>
  <si>
    <t>Пресненский вал ул., дом. 8 к.1</t>
  </si>
  <si>
    <t>Пресненский вал ул., дом. 8 к.2</t>
  </si>
  <si>
    <t>Пресненский вал ул., дом. 8 к.3</t>
  </si>
  <si>
    <t>Пресненский вал ул., дом. 14 к.1</t>
  </si>
  <si>
    <t>Пресненский вал ул., дом. 14 к.2</t>
  </si>
  <si>
    <t>Пресненский вал ул., дом. 14 к.3</t>
  </si>
  <si>
    <t>Пресненский вал ул., дом. 14 к.4</t>
  </si>
  <si>
    <t>Пресненский вал ул., дом. 14 к.5</t>
  </si>
  <si>
    <t>Пресненский вал ул., дом. 14 к.6</t>
  </si>
  <si>
    <t>Пресненский вал ул., дом. 23</t>
  </si>
  <si>
    <t>Пресненский вал ул., дом. 26</t>
  </si>
  <si>
    <t>Пресненский вал ул., дом. 30</t>
  </si>
  <si>
    <t>Пресненский вал ул., дом. 36</t>
  </si>
  <si>
    <t>Пресненский вал ул., дом. 38 стр.4</t>
  </si>
  <si>
    <t>Пресненский вал ул., дом. 40</t>
  </si>
  <si>
    <t>Пресненский пер., дом. 2</t>
  </si>
  <si>
    <t>Пресненский пер., дом. 6</t>
  </si>
  <si>
    <t>Рочдельская ул., дом. 12 стр.1</t>
  </si>
  <si>
    <t>Рочдельская ул., дом. 14А</t>
  </si>
  <si>
    <t>Садовая Б. ул., дом. 1</t>
  </si>
  <si>
    <t>Садовая Б. ул., дом. 3 стр.1</t>
  </si>
  <si>
    <t>98а</t>
  </si>
  <si>
    <t>Садовая Б. ул., дом. 3 стр.10</t>
  </si>
  <si>
    <t>Садовая Б. ул., дом. 6</t>
  </si>
  <si>
    <t>Садовая-Кудринская ул., дом. 7</t>
  </si>
  <si>
    <t>Садовая-Кудринская ул., дом. 8-10-12 стр.1</t>
  </si>
  <si>
    <t>Садовая-Кудринская ул., дом. 14-16</t>
  </si>
  <si>
    <t>Садовая-Кудринская ул., дом. 21а</t>
  </si>
  <si>
    <t>Садовая-Кудринская ул., дом. 21 стр.1</t>
  </si>
  <si>
    <t>Садовая-Кудринская ул., дом. 21 стр.4</t>
  </si>
  <si>
    <t>Садовая-Кудринская ул., дом. 23 стр.1</t>
  </si>
  <si>
    <t>13А</t>
  </si>
  <si>
    <t>Садовая-Кудринская ул., дом. 23 стр.3</t>
  </si>
  <si>
    <t>Садовая-Кудринская ул., дом. 23 стр.4</t>
  </si>
  <si>
    <t>Садовая-Кудринская ул., дом. 23 стр.5</t>
  </si>
  <si>
    <t>Садовая-Кудринская ул., дом. 28/30</t>
  </si>
  <si>
    <t>34А</t>
  </si>
  <si>
    <t>Садовая-Кудринская ул., дом. 32 стр.2</t>
  </si>
  <si>
    <t>10-11</t>
  </si>
  <si>
    <t>Сергея Макеева ул., дом. 2 стр.1</t>
  </si>
  <si>
    <t>Сергея Макеева ул., дом. 4</t>
  </si>
  <si>
    <t>Сергея Макеева ул., дом. 6</t>
  </si>
  <si>
    <t>Сергея Макеева ул., дом. 8 стр.1</t>
  </si>
  <si>
    <t>Скатертный пер., дом. 11</t>
  </si>
  <si>
    <t>Скатертный пер., дом. 17</t>
  </si>
  <si>
    <t>Спиридоновка ул., дом. 15 стр.1</t>
  </si>
  <si>
    <t>Спиридоновка ул., дом. 16 стр.1</t>
  </si>
  <si>
    <t>Спиридоновка ул., дом. 16 стр.2</t>
  </si>
  <si>
    <t>Спиридоновка ул., дом. 18</t>
  </si>
  <si>
    <t>Спиридоновка ул., дом. 22/2</t>
  </si>
  <si>
    <t>Спиридоновка ул., дом. 24/1</t>
  </si>
  <si>
    <t>Спиридоновка ул., дом. 26</t>
  </si>
  <si>
    <t>Спиридоновка ул., дом. 27/24</t>
  </si>
  <si>
    <t>Спиридоновка ул., дом. 34 стр.1</t>
  </si>
  <si>
    <t>Спиридоновка ул., дом. 34 стр.2</t>
  </si>
  <si>
    <t>Спиридоньевский пер., дом. 5 стр.2</t>
  </si>
  <si>
    <t>Спиридоньевский пер., дом. 6</t>
  </si>
  <si>
    <t>Спиридоньевский пер., дом. 7</t>
  </si>
  <si>
    <t>Спиридоньевский пер., дом. 10А</t>
  </si>
  <si>
    <t>Спиридоньевский пер., дом. 12/9</t>
  </si>
  <si>
    <t>Столярный пер., дом. 1/11</t>
  </si>
  <si>
    <t>Столярный пер., дом. 2</t>
  </si>
  <si>
    <t>Столярный пер., дом. 14</t>
  </si>
  <si>
    <t>Столярный пер., дом. 18</t>
  </si>
  <si>
    <t>Стрельбищенский пер., дом. 4</t>
  </si>
  <si>
    <t>Стрельбищенский пер., дом. 5</t>
  </si>
  <si>
    <t>Стрельбищенский пер., дом. 5 стр.2</t>
  </si>
  <si>
    <t>Стрельбищенский пер., дом. 5 стр.3</t>
  </si>
  <si>
    <t>Стрельбищенский пер., дом. 7</t>
  </si>
  <si>
    <t>Стрельбищенский пер., дом. 7а</t>
  </si>
  <si>
    <t>Стрельбищенский пер., дом. 8</t>
  </si>
  <si>
    <t>Стрельбищенский пер., дом. 9</t>
  </si>
  <si>
    <t>Стрельбищенский пер., дом. 9а</t>
  </si>
  <si>
    <t>Стрельбищенский пер., дом. 10</t>
  </si>
  <si>
    <t>Стрельбищенский пер., дом. 11</t>
  </si>
  <si>
    <t>Стрельбищенский пер., дом. 12</t>
  </si>
  <si>
    <t>Стрельбищенский пер., дом. 15</t>
  </si>
  <si>
    <t>Стрельбищенский пер., дом. 17</t>
  </si>
  <si>
    <t>Стрельбищенский пер., дом. 18а</t>
  </si>
  <si>
    <t>Стрельбищенский пер., дом. 19</t>
  </si>
  <si>
    <t>Стрельбищенский пер., дом. 19а</t>
  </si>
  <si>
    <t>Стрельбищенский пер., дом. 21</t>
  </si>
  <si>
    <t>Стрельбищенский пер., дом. 22а</t>
  </si>
  <si>
    <t>Стрельбищенский пер., дом. 22 стр.1</t>
  </si>
  <si>
    <t>Стрельбищенский пер., дом. 23</t>
  </si>
  <si>
    <t>Стрельбищенский пер., дом. 23а</t>
  </si>
  <si>
    <t>Стрельбищенский пер., дом. 24</t>
  </si>
  <si>
    <t>Стрельбищенский пер., дом. 25</t>
  </si>
  <si>
    <t>Стрельбищенский пер., дом. 25а</t>
  </si>
  <si>
    <t>Стрельбищенский пер., дом. 26/9</t>
  </si>
  <si>
    <t>Стрельбищенский пер., дом. 27</t>
  </si>
  <si>
    <t>Стрельбищенский пер., дом. 29а</t>
  </si>
  <si>
    <t>Стрельбищенский пер., дом. 29 стр.1</t>
  </si>
  <si>
    <t>Студенецкий пер., дом. 3</t>
  </si>
  <si>
    <t>Студенецкий пер., дом. 4</t>
  </si>
  <si>
    <t>Студенецкий пер., дом. 6</t>
  </si>
  <si>
    <t>Сытинский пер., дом. 5/10 стр.3</t>
  </si>
  <si>
    <t>Сытинский туп., дом. 3</t>
  </si>
  <si>
    <t>Тверской бульв., дом. 9</t>
  </si>
  <si>
    <t>11Б</t>
  </si>
  <si>
    <t>Тверской бульв., дом. 19</t>
  </si>
  <si>
    <t>Тишинская пл., дом. 8</t>
  </si>
  <si>
    <t>Тишинский Б. пер., дом. 2</t>
  </si>
  <si>
    <t>Тишинский Б. пер., дом. 22</t>
  </si>
  <si>
    <t>Тишинский Б. пер., дом. 26 к.13-14</t>
  </si>
  <si>
    <t>Тишинский Б. пер., дом. 26 к.15-16</t>
  </si>
  <si>
    <t>Тишинский Б. пер., дом. 40 стр.1</t>
  </si>
  <si>
    <t>Тишинский Б. пер., дом. 45</t>
  </si>
  <si>
    <t>Тишинский М. пер., дом. 11/12</t>
  </si>
  <si>
    <t>Тишинский М. пер., дом. 14/16</t>
  </si>
  <si>
    <t>Тишинский М. пер., дом. 19</t>
  </si>
  <si>
    <t>Тишинский М. пер., дом. 20</t>
  </si>
  <si>
    <t>Тишинский М. пер., дом. 22</t>
  </si>
  <si>
    <t>Тишинский Ср. пер., дом. 3</t>
  </si>
  <si>
    <t>Тишинский Ср. пер., дом. 10</t>
  </si>
  <si>
    <t>Тишинский Ср. пер., дом. 16</t>
  </si>
  <si>
    <t>Трехгорный вал ул., дом. 1</t>
  </si>
  <si>
    <t>Трехгорный вал ул., дом. 3</t>
  </si>
  <si>
    <t>Трехгорный вал ул., дом. 5</t>
  </si>
  <si>
    <t>Трехгорный вал ул., дом. 12 стр.2</t>
  </si>
  <si>
    <t>Трехпрудный пер., дом. 5</t>
  </si>
  <si>
    <t>Ходынская ул., дом. 6</t>
  </si>
  <si>
    <t>Ходынская ул., дом. 8</t>
  </si>
  <si>
    <t>Ходынская ул., дом. 10 стр.1</t>
  </si>
  <si>
    <t>Ходынская ул., дом. 14</t>
  </si>
  <si>
    <t>Ходынская ул., дом. 16</t>
  </si>
  <si>
    <t>Черногрязская 2-я ул., дом. 1</t>
  </si>
  <si>
    <t>Черногрязская 2-я ул., дом. 3 стр.1</t>
  </si>
  <si>
    <t>Черногрязская 2-я ул., дом. 5 к.1</t>
  </si>
  <si>
    <t>Черногрязская 2-я ул., дом. 5 к.2</t>
  </si>
  <si>
    <t>Черногрязская 2-я ул., дом. 7 к.2</t>
  </si>
  <si>
    <t>Черногрязская 2-я ул., дом. 9</t>
  </si>
  <si>
    <t>Черногрязская 2-я ул., дом. 10 стр.1</t>
  </si>
  <si>
    <t>Черногрязская 2-я ул., дом. 11/15</t>
  </si>
  <si>
    <t>Шелепихинская наб., дом. 8 к.2</t>
  </si>
  <si>
    <t>Шелепихинское шоссе, дом. 3 стр.2</t>
  </si>
  <si>
    <t>Шмитовский пр., дом. 1</t>
  </si>
  <si>
    <t>Шмитовский пр., дом. 5</t>
  </si>
  <si>
    <t>Шмитовский пр., дом. 7</t>
  </si>
  <si>
    <t>Шмитовский пр., дом. 8</t>
  </si>
  <si>
    <t>Шмитовский пр., дом. 9/5</t>
  </si>
  <si>
    <t>Шмитовский пр., дом. 10/7</t>
  </si>
  <si>
    <t>Шмитовский пр., дом. 11а</t>
  </si>
  <si>
    <t>Шмитовский пр., дом. 11б</t>
  </si>
  <si>
    <t>Шмитовский пр., дом. 12</t>
  </si>
  <si>
    <t>Шмитовский пр., дом. 13</t>
  </si>
  <si>
    <t>Шмитовский пр., дом. 14</t>
  </si>
  <si>
    <t>Шмитовский пр., дом. 15/5</t>
  </si>
  <si>
    <t>Шмитовский пр., дом. 17</t>
  </si>
  <si>
    <t>Шмитовский пр., дом. 18</t>
  </si>
  <si>
    <t>Шмитовский пр., дом. 19</t>
  </si>
  <si>
    <t>Шмитовский пр., дом. 22</t>
  </si>
  <si>
    <t>Шмитовский пр., дом. 24</t>
  </si>
  <si>
    <t>Шмитовский пр., дом. 28</t>
  </si>
  <si>
    <t>Шмитовский пр., дом. 30</t>
  </si>
  <si>
    <t>Шмитовский пр., дом. 35 стр.1</t>
  </si>
  <si>
    <t>Шмитовский пр., дом. 44</t>
  </si>
  <si>
    <t>Шмитовский пр., дом. 46</t>
  </si>
  <si>
    <t>Электрический пер., дом. 6/28</t>
  </si>
  <si>
    <t>Электрический пер., дом. 8 стр.4</t>
  </si>
  <si>
    <t>Электрический пер., дом. 12</t>
  </si>
  <si>
    <t>Юлиуса Фучика ул., дом. 2/30</t>
  </si>
  <si>
    <t>Юлиуса Фучика ул., дом.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</si>
</sst>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rgb="FF0C67D7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5EFE6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top" wrapText="1"/>
    </xf>
    <xf numFmtId="0" fontId="1" fillId="0" borderId="0" xfId="0" applyFont="1"/>
    <xf numFmtId="49" fontId="0" fillId="2" borderId="1" xfId="0" applyNumberFormat="1" applyFill="1" applyBorder="1" applyAlignment="1">
      <alignment vertical="top" wrapText="1"/>
    </xf>
    <xf numFmtId="49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29"/>
  <sheetViews>
    <sheetView tabSelected="1" workbookViewId="0">
      <pane xSplit="3" ySplit="1" topLeftCell="D2" activePane="bottomRight" state="frozen"/>
      <selection pane="topRight" activeCell="F1" sqref="F1"/>
      <selection pane="bottomLeft" activeCell="A2" sqref="A2"/>
      <selection pane="bottomRight" activeCell="G9" sqref="G9"/>
    </sheetView>
  </sheetViews>
  <sheetFormatPr defaultRowHeight="15" x14ac:dyDescent="0.25"/>
  <cols>
    <col min="1" max="1" width="41.140625" bestFit="1" customWidth="1"/>
    <col min="3" max="3" width="11" bestFit="1" customWidth="1"/>
    <col min="4" max="4" width="9.140625" style="4"/>
  </cols>
  <sheetData>
    <row r="1" spans="1:5" ht="45" x14ac:dyDescent="0.25">
      <c r="A1" s="1" t="s">
        <v>0</v>
      </c>
      <c r="B1" s="1" t="s">
        <v>1</v>
      </c>
      <c r="C1" s="1" t="s">
        <v>2</v>
      </c>
      <c r="D1" s="3" t="s">
        <v>3</v>
      </c>
      <c r="E1" s="1" t="s">
        <v>4</v>
      </c>
    </row>
    <row r="2" spans="1:5" x14ac:dyDescent="0.25">
      <c r="A2" t="s">
        <v>5</v>
      </c>
      <c r="B2" t="s">
        <v>17</v>
      </c>
      <c r="C2" s="2">
        <f>HYPERLINK("https://cao.dolgi.msk.ru/account/1050435015/", 1050435015)</f>
        <v>1050435015</v>
      </c>
      <c r="D2" s="4">
        <v>13361.76</v>
      </c>
      <c r="E2">
        <v>1.65</v>
      </c>
    </row>
    <row r="3" spans="1:5" x14ac:dyDescent="0.25">
      <c r="A3" t="s">
        <v>5</v>
      </c>
      <c r="B3" t="s">
        <v>36</v>
      </c>
      <c r="C3" s="2">
        <f>HYPERLINK("https://cao.dolgi.msk.ru/account/1050435349/", 1050435349)</f>
        <v>1050435349</v>
      </c>
      <c r="D3" s="4">
        <v>5378.25</v>
      </c>
      <c r="E3">
        <v>1.03</v>
      </c>
    </row>
    <row r="4" spans="1:5" x14ac:dyDescent="0.25">
      <c r="A4" t="s">
        <v>5</v>
      </c>
      <c r="B4" t="s">
        <v>53</v>
      </c>
      <c r="C4" s="2">
        <f>HYPERLINK("https://cao.dolgi.msk.ru/account/1050435621/", 1050435621)</f>
        <v>1050435621</v>
      </c>
      <c r="D4" s="4">
        <v>20920.060000000001</v>
      </c>
      <c r="E4">
        <v>2</v>
      </c>
    </row>
    <row r="5" spans="1:5" x14ac:dyDescent="0.25">
      <c r="A5" t="s">
        <v>5</v>
      </c>
      <c r="B5" t="s">
        <v>56</v>
      </c>
      <c r="C5" s="2">
        <f>HYPERLINK("https://cao.dolgi.msk.ru/account/1050435699/", 1050435699)</f>
        <v>1050435699</v>
      </c>
      <c r="D5" s="4">
        <v>30882.21</v>
      </c>
      <c r="E5">
        <v>2.96</v>
      </c>
    </row>
    <row r="6" spans="1:5" x14ac:dyDescent="0.25">
      <c r="A6" t="s">
        <v>5</v>
      </c>
      <c r="B6" t="s">
        <v>57</v>
      </c>
      <c r="C6" s="2">
        <f>HYPERLINK("https://cao.dolgi.msk.ru/account/1050435701/", 1050435701)</f>
        <v>1050435701</v>
      </c>
      <c r="D6" s="4">
        <v>21745.8</v>
      </c>
      <c r="E6">
        <v>2.97</v>
      </c>
    </row>
    <row r="7" spans="1:5" x14ac:dyDescent="0.25">
      <c r="A7" t="s">
        <v>5</v>
      </c>
      <c r="B7" t="s">
        <v>58</v>
      </c>
      <c r="C7" s="2">
        <f>HYPERLINK("https://cao.dolgi.msk.ru/account/1050435728/", 1050435728)</f>
        <v>1050435728</v>
      </c>
      <c r="D7" s="4">
        <v>27207.29</v>
      </c>
      <c r="E7">
        <v>3.05</v>
      </c>
    </row>
    <row r="8" spans="1:5" x14ac:dyDescent="0.25">
      <c r="A8" t="s">
        <v>5</v>
      </c>
      <c r="B8" t="s">
        <v>59</v>
      </c>
      <c r="C8" s="2">
        <f>HYPERLINK("https://cao.dolgi.msk.ru/account/1050435736/", 1050435736)</f>
        <v>1050435736</v>
      </c>
      <c r="D8" s="4">
        <v>17604.87</v>
      </c>
      <c r="E8">
        <v>3.38</v>
      </c>
    </row>
    <row r="9" spans="1:5" x14ac:dyDescent="0.25">
      <c r="A9" t="s">
        <v>5</v>
      </c>
      <c r="B9" t="s">
        <v>68</v>
      </c>
      <c r="C9" s="2">
        <f>HYPERLINK("https://cao.dolgi.msk.ru/account/1050435867/", 1050435867)</f>
        <v>1050435867</v>
      </c>
      <c r="D9" s="4">
        <v>13363.79</v>
      </c>
      <c r="E9">
        <v>1.9</v>
      </c>
    </row>
    <row r="10" spans="1:5" x14ac:dyDescent="0.25">
      <c r="A10" t="s">
        <v>5</v>
      </c>
      <c r="B10" t="s">
        <v>80</v>
      </c>
      <c r="C10" s="2">
        <f>HYPERLINK("https://cao.dolgi.msk.ru/account/1050436034/", 1050436034)</f>
        <v>1050436034</v>
      </c>
      <c r="D10" s="4">
        <v>127106.49</v>
      </c>
      <c r="E10">
        <v>16.47</v>
      </c>
    </row>
    <row r="11" spans="1:5" x14ac:dyDescent="0.25">
      <c r="A11" t="s">
        <v>5</v>
      </c>
      <c r="B11" t="s">
        <v>88</v>
      </c>
      <c r="C11" s="2">
        <f>HYPERLINK("https://cao.dolgi.msk.ru/account/1050436157/", 1050436157)</f>
        <v>1050436157</v>
      </c>
      <c r="D11" s="4">
        <v>31914.52</v>
      </c>
      <c r="E11">
        <v>2.88</v>
      </c>
    </row>
    <row r="12" spans="1:5" x14ac:dyDescent="0.25">
      <c r="A12" t="s">
        <v>5</v>
      </c>
      <c r="B12" t="s">
        <v>89</v>
      </c>
      <c r="C12" s="2">
        <f>HYPERLINK("https://cao.dolgi.msk.ru/account/1050436165/", 1050436165)</f>
        <v>1050436165</v>
      </c>
      <c r="D12" s="4">
        <v>14550.34</v>
      </c>
      <c r="E12">
        <v>2.97</v>
      </c>
    </row>
    <row r="13" spans="1:5" x14ac:dyDescent="0.25">
      <c r="A13" t="s">
        <v>92</v>
      </c>
      <c r="B13" t="s">
        <v>26</v>
      </c>
      <c r="C13" s="2">
        <f>HYPERLINK("https://cao.dolgi.msk.ru/account/1050466225/", 1050466225)</f>
        <v>1050466225</v>
      </c>
      <c r="D13" s="4">
        <v>22494.560000000001</v>
      </c>
      <c r="E13">
        <v>1.93</v>
      </c>
    </row>
    <row r="14" spans="1:5" x14ac:dyDescent="0.25">
      <c r="A14" t="s">
        <v>92</v>
      </c>
      <c r="B14" t="s">
        <v>72</v>
      </c>
      <c r="C14" s="2">
        <f>HYPERLINK("https://cao.dolgi.msk.ru/account/1050466807/", 1050466807)</f>
        <v>1050466807</v>
      </c>
      <c r="D14" s="4">
        <v>12045.07</v>
      </c>
      <c r="E14">
        <v>1.73</v>
      </c>
    </row>
    <row r="15" spans="1:5" x14ac:dyDescent="0.25">
      <c r="A15" t="s">
        <v>92</v>
      </c>
      <c r="B15" t="s">
        <v>76</v>
      </c>
      <c r="C15" s="2">
        <f>HYPERLINK("https://cao.dolgi.msk.ru/account/1050467148/", 1050467148)</f>
        <v>1050467148</v>
      </c>
      <c r="D15" s="4">
        <v>15710.77</v>
      </c>
      <c r="E15">
        <v>1.78</v>
      </c>
    </row>
    <row r="16" spans="1:5" x14ac:dyDescent="0.25">
      <c r="A16" t="s">
        <v>92</v>
      </c>
      <c r="B16" t="s">
        <v>81</v>
      </c>
      <c r="C16" s="2">
        <f>HYPERLINK("https://cao.dolgi.msk.ru/account/1050467199/", 1050467199)</f>
        <v>1050467199</v>
      </c>
      <c r="D16" s="4">
        <v>15063.1</v>
      </c>
      <c r="E16">
        <v>2.91</v>
      </c>
    </row>
    <row r="17" spans="1:5" x14ac:dyDescent="0.25">
      <c r="A17" t="s">
        <v>104</v>
      </c>
      <c r="B17" t="s">
        <v>24</v>
      </c>
      <c r="C17" s="2">
        <f>HYPERLINK("https://cao.dolgi.msk.ru/account/1050373301/", 1050373301)</f>
        <v>1050373301</v>
      </c>
      <c r="D17" s="4">
        <v>5011.5600000000004</v>
      </c>
      <c r="E17">
        <v>1.02</v>
      </c>
    </row>
    <row r="18" spans="1:5" x14ac:dyDescent="0.25">
      <c r="A18" t="s">
        <v>104</v>
      </c>
      <c r="B18" t="s">
        <v>27</v>
      </c>
      <c r="C18" s="2">
        <f>HYPERLINK("https://cao.dolgi.msk.ru/account/1050373336/", 1050373336)</f>
        <v>1050373336</v>
      </c>
      <c r="D18" s="4">
        <v>127536.33</v>
      </c>
      <c r="E18">
        <v>17.95</v>
      </c>
    </row>
    <row r="19" spans="1:5" x14ac:dyDescent="0.25">
      <c r="A19" t="s">
        <v>104</v>
      </c>
      <c r="B19" t="s">
        <v>29</v>
      </c>
      <c r="C19" s="2">
        <f>HYPERLINK("https://cao.dolgi.msk.ru/account/1050373379/", 1050373379)</f>
        <v>1050373379</v>
      </c>
      <c r="D19" s="4">
        <v>6254.14</v>
      </c>
      <c r="E19">
        <v>1.03</v>
      </c>
    </row>
    <row r="20" spans="1:5" x14ac:dyDescent="0.25">
      <c r="A20" t="s">
        <v>104</v>
      </c>
      <c r="B20" t="s">
        <v>36</v>
      </c>
      <c r="C20" s="2">
        <f>HYPERLINK("https://cao.dolgi.msk.ru/account/1050373459/", 1050373459)</f>
        <v>1050373459</v>
      </c>
      <c r="D20" s="4">
        <v>49641.760000000002</v>
      </c>
      <c r="E20">
        <v>8.01</v>
      </c>
    </row>
    <row r="21" spans="1:5" x14ac:dyDescent="0.25">
      <c r="A21" t="s">
        <v>104</v>
      </c>
      <c r="B21" t="s">
        <v>56</v>
      </c>
      <c r="C21" s="2">
        <f>HYPERLINK("https://cao.dolgi.msk.ru/account/1050373774/", 1050373774)</f>
        <v>1050373774</v>
      </c>
      <c r="D21" s="4">
        <v>25256.720000000001</v>
      </c>
      <c r="E21">
        <v>2.97</v>
      </c>
    </row>
    <row r="22" spans="1:5" x14ac:dyDescent="0.25">
      <c r="A22" t="s">
        <v>104</v>
      </c>
      <c r="B22" t="s">
        <v>61</v>
      </c>
      <c r="C22" s="2">
        <f>HYPERLINK("https://cao.dolgi.msk.ru/account/1050373846/", 1050373846)</f>
        <v>1050373846</v>
      </c>
      <c r="D22" s="4">
        <v>20003.13</v>
      </c>
      <c r="E22">
        <v>1.81</v>
      </c>
    </row>
    <row r="23" spans="1:5" x14ac:dyDescent="0.25">
      <c r="A23" t="s">
        <v>104</v>
      </c>
      <c r="B23" t="s">
        <v>77</v>
      </c>
      <c r="C23" s="2">
        <f>HYPERLINK("https://cao.dolgi.msk.ru/account/1050374072/", 1050374072)</f>
        <v>1050374072</v>
      </c>
      <c r="D23" s="4">
        <v>14363.23</v>
      </c>
      <c r="E23">
        <v>1.79</v>
      </c>
    </row>
    <row r="24" spans="1:5" x14ac:dyDescent="0.25">
      <c r="A24" t="s">
        <v>104</v>
      </c>
      <c r="B24" t="s">
        <v>80</v>
      </c>
      <c r="C24" s="2">
        <f>HYPERLINK("https://cao.dolgi.msk.ru/account/1050374136/", 1050374136)</f>
        <v>1050374136</v>
      </c>
      <c r="D24" s="4">
        <v>25325.23</v>
      </c>
      <c r="E24">
        <v>4.83</v>
      </c>
    </row>
    <row r="25" spans="1:5" x14ac:dyDescent="0.25">
      <c r="A25" t="s">
        <v>104</v>
      </c>
      <c r="B25" t="s">
        <v>83</v>
      </c>
      <c r="C25" s="2">
        <f>HYPERLINK("https://cao.dolgi.msk.ru/account/1050374195/", 1050374195)</f>
        <v>1050374195</v>
      </c>
      <c r="D25" s="4">
        <v>8656.69</v>
      </c>
      <c r="E25">
        <v>1.04</v>
      </c>
    </row>
    <row r="26" spans="1:5" x14ac:dyDescent="0.25">
      <c r="A26" t="s">
        <v>104</v>
      </c>
      <c r="B26" t="s">
        <v>112</v>
      </c>
      <c r="C26" s="2">
        <f>HYPERLINK("https://cao.dolgi.msk.ru/account/1058019753/", 1058019753)</f>
        <v>1058019753</v>
      </c>
      <c r="D26" s="4">
        <v>11218.34</v>
      </c>
      <c r="E26">
        <v>1.86</v>
      </c>
    </row>
    <row r="27" spans="1:5" x14ac:dyDescent="0.25">
      <c r="A27" t="s">
        <v>104</v>
      </c>
      <c r="B27" t="s">
        <v>120</v>
      </c>
      <c r="C27" s="2">
        <f>HYPERLINK("https://cao.dolgi.msk.ru/account/1050374734/", 1050374734)</f>
        <v>1050374734</v>
      </c>
      <c r="D27" s="4">
        <v>15543.75</v>
      </c>
      <c r="E27">
        <v>1.99</v>
      </c>
    </row>
    <row r="28" spans="1:5" x14ac:dyDescent="0.25">
      <c r="A28" t="s">
        <v>104</v>
      </c>
      <c r="B28" t="s">
        <v>122</v>
      </c>
      <c r="C28" s="2">
        <f>HYPERLINK("https://cao.dolgi.msk.ru/account/1050374769/", 1050374769)</f>
        <v>1050374769</v>
      </c>
      <c r="D28" s="4">
        <v>108416.82</v>
      </c>
      <c r="E28">
        <v>6.01</v>
      </c>
    </row>
    <row r="29" spans="1:5" x14ac:dyDescent="0.25">
      <c r="A29" t="s">
        <v>136</v>
      </c>
      <c r="B29" t="s">
        <v>17</v>
      </c>
      <c r="C29" s="2">
        <f>HYPERLINK("https://cao.dolgi.msk.ru/account/1050672547/", 1050672547)</f>
        <v>1050672547</v>
      </c>
      <c r="D29" s="4">
        <v>6838.49</v>
      </c>
      <c r="E29">
        <v>1.79</v>
      </c>
    </row>
    <row r="30" spans="1:5" x14ac:dyDescent="0.25">
      <c r="A30" t="s">
        <v>136</v>
      </c>
      <c r="B30" t="s">
        <v>55</v>
      </c>
      <c r="C30" s="2">
        <f>HYPERLINK("https://cao.dolgi.msk.ru/account/1058023234/", 1058023234)</f>
        <v>1058023234</v>
      </c>
      <c r="D30" s="4">
        <v>22743.7</v>
      </c>
      <c r="E30">
        <v>2.96</v>
      </c>
    </row>
    <row r="31" spans="1:5" x14ac:dyDescent="0.25">
      <c r="A31" t="s">
        <v>136</v>
      </c>
      <c r="B31" t="s">
        <v>61</v>
      </c>
      <c r="C31" s="2">
        <f>HYPERLINK("https://cao.dolgi.msk.ru/account/1050673232/", 1050673232)</f>
        <v>1050673232</v>
      </c>
      <c r="D31" s="4">
        <v>14525.14</v>
      </c>
      <c r="E31">
        <v>1.58</v>
      </c>
    </row>
    <row r="32" spans="1:5" x14ac:dyDescent="0.25">
      <c r="A32" t="s">
        <v>136</v>
      </c>
      <c r="B32" t="s">
        <v>101</v>
      </c>
      <c r="C32" s="2">
        <f>HYPERLINK("https://cao.dolgi.msk.ru/account/1050673734/", 1050673734)</f>
        <v>1050673734</v>
      </c>
      <c r="D32" s="4">
        <v>15429.96</v>
      </c>
      <c r="E32">
        <v>1.87</v>
      </c>
    </row>
    <row r="33" spans="1:5" x14ac:dyDescent="0.25">
      <c r="A33" t="s">
        <v>136</v>
      </c>
      <c r="B33" t="s">
        <v>112</v>
      </c>
      <c r="C33" s="2">
        <f>HYPERLINK("https://cao.dolgi.msk.ru/account/1058091413/", 1058091413)</f>
        <v>1058091413</v>
      </c>
      <c r="D33" s="4">
        <v>2044720.29</v>
      </c>
      <c r="E33">
        <v>231.01</v>
      </c>
    </row>
    <row r="34" spans="1:5" x14ac:dyDescent="0.25">
      <c r="A34" t="s">
        <v>136</v>
      </c>
      <c r="B34" t="s">
        <v>133</v>
      </c>
      <c r="C34" s="2">
        <f>HYPERLINK("https://cao.dolgi.msk.ru/account/1050674219/", 1050674219)</f>
        <v>1050674219</v>
      </c>
      <c r="D34" s="4">
        <v>18875.990000000002</v>
      </c>
      <c r="E34">
        <v>1.97</v>
      </c>
    </row>
    <row r="35" spans="1:5" x14ac:dyDescent="0.25">
      <c r="A35" t="s">
        <v>136</v>
      </c>
      <c r="B35" t="s">
        <v>157</v>
      </c>
      <c r="C35" s="2">
        <f>HYPERLINK("https://cao.dolgi.msk.ru/account/1050674497/", 1050674497)</f>
        <v>1050674497</v>
      </c>
      <c r="D35" s="4">
        <v>15485.05</v>
      </c>
      <c r="E35">
        <v>1.96</v>
      </c>
    </row>
    <row r="36" spans="1:5" x14ac:dyDescent="0.25">
      <c r="A36" t="s">
        <v>136</v>
      </c>
      <c r="B36" t="s">
        <v>172</v>
      </c>
      <c r="C36" s="2">
        <f>HYPERLINK("https://cao.dolgi.msk.ru/account/1050674809/", 1050674809)</f>
        <v>1050674809</v>
      </c>
      <c r="D36" s="4">
        <v>5605.52</v>
      </c>
      <c r="E36">
        <v>1.04</v>
      </c>
    </row>
    <row r="37" spans="1:5" x14ac:dyDescent="0.25">
      <c r="A37" t="s">
        <v>136</v>
      </c>
      <c r="B37" t="s">
        <v>212</v>
      </c>
      <c r="C37" s="2">
        <f>HYPERLINK("https://cao.dolgi.msk.ru/account/1050675625/", 1050675625)</f>
        <v>1050675625</v>
      </c>
      <c r="D37" s="4">
        <v>28836</v>
      </c>
      <c r="E37">
        <v>3.06</v>
      </c>
    </row>
    <row r="38" spans="1:5" x14ac:dyDescent="0.25">
      <c r="A38" t="s">
        <v>219</v>
      </c>
      <c r="B38" t="s">
        <v>31</v>
      </c>
      <c r="C38" s="2">
        <f>HYPERLINK("https://cao.dolgi.msk.ru/account/1050676863/", 1050676863)</f>
        <v>1050676863</v>
      </c>
      <c r="D38" s="4">
        <v>38552.57</v>
      </c>
      <c r="E38">
        <v>6.31</v>
      </c>
    </row>
    <row r="39" spans="1:5" x14ac:dyDescent="0.25">
      <c r="A39" t="s">
        <v>219</v>
      </c>
      <c r="B39" t="s">
        <v>32</v>
      </c>
      <c r="C39" s="2">
        <f>HYPERLINK("https://cao.dolgi.msk.ru/account/1058134428/", 1058134428)</f>
        <v>1058134428</v>
      </c>
      <c r="D39" s="4">
        <v>8943.0400000000009</v>
      </c>
      <c r="E39">
        <v>2</v>
      </c>
    </row>
    <row r="40" spans="1:5" x14ac:dyDescent="0.25">
      <c r="A40" t="s">
        <v>219</v>
      </c>
      <c r="B40" t="s">
        <v>45</v>
      </c>
      <c r="C40" s="2">
        <f>HYPERLINK("https://cao.dolgi.msk.ru/account/1050677049/", 1050677049)</f>
        <v>1050677049</v>
      </c>
      <c r="D40" s="4">
        <v>8758.99</v>
      </c>
      <c r="E40">
        <v>1.37</v>
      </c>
    </row>
    <row r="41" spans="1:5" x14ac:dyDescent="0.25">
      <c r="A41" t="s">
        <v>219</v>
      </c>
      <c r="B41" t="s">
        <v>50</v>
      </c>
      <c r="C41" s="2">
        <f>HYPERLINK("https://cao.dolgi.msk.ru/account/1050677137/", 1050677137)</f>
        <v>1050677137</v>
      </c>
      <c r="D41" s="4">
        <v>6085.93</v>
      </c>
      <c r="E41">
        <v>1.99</v>
      </c>
    </row>
    <row r="42" spans="1:5" x14ac:dyDescent="0.25">
      <c r="A42" t="s">
        <v>219</v>
      </c>
      <c r="B42" t="s">
        <v>60</v>
      </c>
      <c r="C42" s="2">
        <f>HYPERLINK("https://cao.dolgi.msk.ru/account/1050677241/", 1050677241)</f>
        <v>1050677241</v>
      </c>
      <c r="D42" s="4">
        <v>6885.49</v>
      </c>
      <c r="E42">
        <v>2.62</v>
      </c>
    </row>
    <row r="43" spans="1:5" x14ac:dyDescent="0.25">
      <c r="A43" t="s">
        <v>219</v>
      </c>
      <c r="B43" t="s">
        <v>69</v>
      </c>
      <c r="C43" s="2">
        <f>HYPERLINK("https://cao.dolgi.msk.ru/account/1050677356/", 1050677356)</f>
        <v>1050677356</v>
      </c>
      <c r="D43" s="4">
        <v>53662.879999999997</v>
      </c>
      <c r="E43">
        <v>16.350000000000001</v>
      </c>
    </row>
    <row r="44" spans="1:5" x14ac:dyDescent="0.25">
      <c r="A44" t="s">
        <v>220</v>
      </c>
      <c r="B44" t="s">
        <v>77</v>
      </c>
      <c r="C44" s="2">
        <f>HYPERLINK("https://cao.dolgi.msk.ru/account/1050675801/", 1050675801)</f>
        <v>1050675801</v>
      </c>
      <c r="D44" s="4">
        <v>19422.97</v>
      </c>
      <c r="E44">
        <v>3.61</v>
      </c>
    </row>
    <row r="45" spans="1:5" x14ac:dyDescent="0.25">
      <c r="A45" t="s">
        <v>220</v>
      </c>
      <c r="B45" t="s">
        <v>81</v>
      </c>
      <c r="C45" s="2">
        <f>HYPERLINK("https://cao.dolgi.msk.ru/account/1050675852/", 1050675852)</f>
        <v>1050675852</v>
      </c>
      <c r="D45" s="4">
        <v>109701.06</v>
      </c>
      <c r="E45">
        <v>17.920000000000002</v>
      </c>
    </row>
    <row r="46" spans="1:5" x14ac:dyDescent="0.25">
      <c r="A46" t="s">
        <v>220</v>
      </c>
      <c r="B46" t="s">
        <v>87</v>
      </c>
      <c r="C46" s="2">
        <f>HYPERLINK("https://cao.dolgi.msk.ru/account/1050675924/", 1050675924)</f>
        <v>1050675924</v>
      </c>
      <c r="D46" s="4">
        <v>8060.88</v>
      </c>
      <c r="E46">
        <v>1.61</v>
      </c>
    </row>
    <row r="47" spans="1:5" x14ac:dyDescent="0.25">
      <c r="A47" t="s">
        <v>220</v>
      </c>
      <c r="B47" t="s">
        <v>96</v>
      </c>
      <c r="C47" s="2">
        <f>HYPERLINK("https://cao.dolgi.msk.ru/account/1050675983/", 1050675983)</f>
        <v>1050675983</v>
      </c>
      <c r="D47" s="4">
        <v>72215</v>
      </c>
      <c r="E47">
        <v>15.11</v>
      </c>
    </row>
    <row r="48" spans="1:5" x14ac:dyDescent="0.25">
      <c r="A48" t="s">
        <v>220</v>
      </c>
      <c r="B48" t="s">
        <v>122</v>
      </c>
      <c r="C48" s="2">
        <f>HYPERLINK("https://cao.dolgi.msk.ru/account/1050676329/", 1050676329)</f>
        <v>1050676329</v>
      </c>
      <c r="D48" s="4">
        <v>12463.1</v>
      </c>
      <c r="E48">
        <v>1.97</v>
      </c>
    </row>
    <row r="49" spans="1:5" x14ac:dyDescent="0.25">
      <c r="A49" t="s">
        <v>220</v>
      </c>
      <c r="B49" t="s">
        <v>125</v>
      </c>
      <c r="C49" s="2">
        <f>HYPERLINK("https://cao.dolgi.msk.ru/account/1050676353/", 1050676353)</f>
        <v>1050676353</v>
      </c>
      <c r="D49" s="4">
        <v>5523.3</v>
      </c>
      <c r="E49">
        <v>1.97</v>
      </c>
    </row>
    <row r="50" spans="1:5" x14ac:dyDescent="0.25">
      <c r="A50" t="s">
        <v>220</v>
      </c>
      <c r="B50" t="s">
        <v>128</v>
      </c>
      <c r="C50" s="2">
        <f>HYPERLINK("https://cao.dolgi.msk.ru/account/1050676396/", 1050676396)</f>
        <v>1050676396</v>
      </c>
      <c r="D50" s="4">
        <v>122761.76</v>
      </c>
      <c r="E50">
        <v>39.96</v>
      </c>
    </row>
    <row r="51" spans="1:5" x14ac:dyDescent="0.25">
      <c r="A51" t="s">
        <v>221</v>
      </c>
      <c r="B51" t="s">
        <v>22</v>
      </c>
      <c r="C51" s="2">
        <f>HYPERLINK("https://cao.dolgi.msk.ru/account/1050677591/", 1050677591)</f>
        <v>1050677591</v>
      </c>
      <c r="D51" s="4">
        <v>17394.52</v>
      </c>
      <c r="E51">
        <v>2.99</v>
      </c>
    </row>
    <row r="52" spans="1:5" x14ac:dyDescent="0.25">
      <c r="A52" t="s">
        <v>221</v>
      </c>
      <c r="B52" t="s">
        <v>37</v>
      </c>
      <c r="C52" s="2">
        <f>HYPERLINK("https://cao.dolgi.msk.ru/account/1058136845/", 1058136845)</f>
        <v>1058136845</v>
      </c>
      <c r="D52" s="4">
        <v>26739.18</v>
      </c>
      <c r="E52">
        <v>3.61</v>
      </c>
    </row>
    <row r="53" spans="1:5" x14ac:dyDescent="0.25">
      <c r="A53" t="s">
        <v>221</v>
      </c>
      <c r="B53" t="s">
        <v>48</v>
      </c>
      <c r="C53" s="2">
        <f>HYPERLINK("https://cao.dolgi.msk.ru/account/1058021095/", 1058021095)</f>
        <v>1058021095</v>
      </c>
      <c r="D53" s="4">
        <v>13381.4</v>
      </c>
      <c r="E53">
        <v>2.93</v>
      </c>
    </row>
    <row r="54" spans="1:5" x14ac:dyDescent="0.25">
      <c r="A54" t="s">
        <v>222</v>
      </c>
      <c r="B54" t="s">
        <v>23</v>
      </c>
      <c r="C54" s="2">
        <f>HYPERLINK("https://cao.dolgi.msk.ru/account/1056002982/", 1056002982)</f>
        <v>1056002982</v>
      </c>
      <c r="D54" s="4">
        <v>8218.56</v>
      </c>
      <c r="E54">
        <v>1.99</v>
      </c>
    </row>
    <row r="55" spans="1:5" x14ac:dyDescent="0.25">
      <c r="A55" t="s">
        <v>222</v>
      </c>
      <c r="B55" t="s">
        <v>35</v>
      </c>
      <c r="C55" s="2">
        <f>HYPERLINK("https://cao.dolgi.msk.ru/account/1056003125/", 1056003125)</f>
        <v>1056003125</v>
      </c>
      <c r="D55" s="4">
        <v>5869.48</v>
      </c>
      <c r="E55">
        <v>1.06</v>
      </c>
    </row>
    <row r="56" spans="1:5" x14ac:dyDescent="0.25">
      <c r="A56" t="s">
        <v>222</v>
      </c>
      <c r="B56" t="s">
        <v>69</v>
      </c>
      <c r="C56" s="2">
        <f>HYPERLINK("https://cao.dolgi.msk.ru/account/1056003555/", 1056003555)</f>
        <v>1056003555</v>
      </c>
      <c r="D56" s="4">
        <v>18646.490000000002</v>
      </c>
      <c r="E56">
        <v>2.38</v>
      </c>
    </row>
    <row r="57" spans="1:5" x14ac:dyDescent="0.25">
      <c r="A57" t="s">
        <v>222</v>
      </c>
      <c r="B57" t="s">
        <v>72</v>
      </c>
      <c r="C57" s="2">
        <f>HYPERLINK("https://cao.dolgi.msk.ru/account/1056003598/", 1056003598)</f>
        <v>1056003598</v>
      </c>
      <c r="D57" s="4">
        <v>11565.92</v>
      </c>
      <c r="E57">
        <v>3.23</v>
      </c>
    </row>
    <row r="58" spans="1:5" x14ac:dyDescent="0.25">
      <c r="A58" t="s">
        <v>222</v>
      </c>
      <c r="B58" t="s">
        <v>148</v>
      </c>
      <c r="C58" s="2">
        <f>HYPERLINK("https://cao.dolgi.msk.ru/account/1056004451/", 1056004451)</f>
        <v>1056004451</v>
      </c>
      <c r="D58" s="4">
        <v>11523.39</v>
      </c>
      <c r="E58">
        <v>2.2200000000000002</v>
      </c>
    </row>
    <row r="59" spans="1:5" x14ac:dyDescent="0.25">
      <c r="A59" t="s">
        <v>222</v>
      </c>
      <c r="B59" t="s">
        <v>162</v>
      </c>
      <c r="C59" s="2">
        <f>HYPERLINK("https://cao.dolgi.msk.ru/account/1056004654/", 1056004654)</f>
        <v>1056004654</v>
      </c>
      <c r="D59" s="4">
        <v>14498.46</v>
      </c>
      <c r="E59">
        <v>1.4</v>
      </c>
    </row>
    <row r="60" spans="1:5" x14ac:dyDescent="0.25">
      <c r="A60" t="s">
        <v>222</v>
      </c>
      <c r="B60" t="s">
        <v>170</v>
      </c>
      <c r="C60" s="2">
        <f>HYPERLINK("https://cao.dolgi.msk.ru/account/1056004806/", 1056004806)</f>
        <v>1056004806</v>
      </c>
      <c r="D60" s="4">
        <v>9241.01</v>
      </c>
      <c r="E60">
        <v>1.69</v>
      </c>
    </row>
    <row r="61" spans="1:5" x14ac:dyDescent="0.25">
      <c r="A61" t="s">
        <v>225</v>
      </c>
      <c r="B61" t="s">
        <v>7</v>
      </c>
      <c r="C61" s="2">
        <f>HYPERLINK("https://cao.dolgi.msk.ru/account/1050431794/", 1050431794)</f>
        <v>1050431794</v>
      </c>
      <c r="D61" s="4">
        <v>13762.12</v>
      </c>
      <c r="E61">
        <v>2</v>
      </c>
    </row>
    <row r="62" spans="1:5" x14ac:dyDescent="0.25">
      <c r="A62" t="s">
        <v>225</v>
      </c>
      <c r="B62" t="s">
        <v>8</v>
      </c>
      <c r="C62" s="2">
        <f>HYPERLINK("https://cao.dolgi.msk.ru/account/1058123198/", 1058123198)</f>
        <v>1058123198</v>
      </c>
      <c r="D62" s="4">
        <v>16123.83</v>
      </c>
      <c r="E62">
        <v>3.03</v>
      </c>
    </row>
    <row r="63" spans="1:5" x14ac:dyDescent="0.25">
      <c r="A63" t="s">
        <v>225</v>
      </c>
      <c r="B63" t="s">
        <v>19</v>
      </c>
      <c r="C63" s="2">
        <f>HYPERLINK("https://cao.dolgi.msk.ru/account/1058025133/", 1058025133)</f>
        <v>1058025133</v>
      </c>
      <c r="D63" s="4">
        <v>77573.649999999994</v>
      </c>
      <c r="E63">
        <v>13.32</v>
      </c>
    </row>
    <row r="64" spans="1:5" x14ac:dyDescent="0.25">
      <c r="A64" t="s">
        <v>225</v>
      </c>
      <c r="B64" t="s">
        <v>23</v>
      </c>
      <c r="C64" s="2">
        <f>HYPERLINK("https://cao.dolgi.msk.ru/account/1050432009/", 1050432009)</f>
        <v>1050432009</v>
      </c>
      <c r="D64" s="4">
        <v>52516.84</v>
      </c>
      <c r="E64">
        <v>12.23</v>
      </c>
    </row>
    <row r="65" spans="1:5" x14ac:dyDescent="0.25">
      <c r="A65" t="s">
        <v>225</v>
      </c>
      <c r="B65" t="s">
        <v>28</v>
      </c>
      <c r="C65" s="2">
        <f>HYPERLINK("https://cao.dolgi.msk.ru/account/1050432041/", 1050432041)</f>
        <v>1050432041</v>
      </c>
      <c r="D65" s="4">
        <v>53651.8</v>
      </c>
      <c r="E65">
        <v>5.68</v>
      </c>
    </row>
    <row r="66" spans="1:5" x14ac:dyDescent="0.25">
      <c r="A66" t="s">
        <v>225</v>
      </c>
      <c r="B66" t="s">
        <v>32</v>
      </c>
      <c r="C66" s="2">
        <f>HYPERLINK("https://cao.dolgi.msk.ru/account/1050432092/", 1050432092)</f>
        <v>1050432092</v>
      </c>
      <c r="D66" s="4">
        <v>6331.64</v>
      </c>
      <c r="E66">
        <v>1.37</v>
      </c>
    </row>
    <row r="67" spans="1:5" x14ac:dyDescent="0.25">
      <c r="A67" t="s">
        <v>225</v>
      </c>
      <c r="B67" t="s">
        <v>59</v>
      </c>
      <c r="C67" s="2">
        <f>HYPERLINK("https://cao.dolgi.msk.ru/account/1050432447/", 1050432447)</f>
        <v>1050432447</v>
      </c>
      <c r="D67" s="4">
        <v>64504.11</v>
      </c>
      <c r="E67">
        <v>7.96</v>
      </c>
    </row>
    <row r="68" spans="1:5" x14ac:dyDescent="0.25">
      <c r="A68" t="s">
        <v>226</v>
      </c>
      <c r="B68" t="s">
        <v>58</v>
      </c>
      <c r="C68" s="2">
        <f>HYPERLINK("https://cao.dolgi.msk.ru/account/1056007695/", 1056007695)</f>
        <v>1056007695</v>
      </c>
      <c r="D68" s="4">
        <v>239027.39</v>
      </c>
      <c r="E68">
        <v>36.840000000000003</v>
      </c>
    </row>
    <row r="69" spans="1:5" x14ac:dyDescent="0.25">
      <c r="A69" t="s">
        <v>226</v>
      </c>
      <c r="B69" t="s">
        <v>71</v>
      </c>
      <c r="C69" s="2">
        <f>HYPERLINK("https://cao.dolgi.msk.ru/account/1056007847/", 1056007847)</f>
        <v>1056007847</v>
      </c>
      <c r="D69" s="4">
        <v>38906.03</v>
      </c>
      <c r="E69">
        <v>2.99</v>
      </c>
    </row>
    <row r="70" spans="1:5" x14ac:dyDescent="0.25">
      <c r="A70" t="s">
        <v>226</v>
      </c>
      <c r="B70" t="s">
        <v>131</v>
      </c>
      <c r="C70" s="2">
        <f>HYPERLINK("https://cao.dolgi.msk.ru/account/1056008567/", 1056008567)</f>
        <v>1056008567</v>
      </c>
      <c r="D70" s="4">
        <v>26992.22</v>
      </c>
      <c r="E70">
        <v>1.4</v>
      </c>
    </row>
    <row r="71" spans="1:5" x14ac:dyDescent="0.25">
      <c r="A71" t="s">
        <v>226</v>
      </c>
      <c r="B71" t="s">
        <v>145</v>
      </c>
      <c r="C71" s="2">
        <f>HYPERLINK("https://cao.dolgi.msk.ru/account/1056008719/", 1056008719)</f>
        <v>1056008719</v>
      </c>
      <c r="D71" s="4">
        <v>7210.99</v>
      </c>
      <c r="E71">
        <v>1.08</v>
      </c>
    </row>
    <row r="72" spans="1:5" x14ac:dyDescent="0.25">
      <c r="A72" t="s">
        <v>227</v>
      </c>
      <c r="B72" t="s">
        <v>12</v>
      </c>
      <c r="C72" s="2">
        <f>HYPERLINK("https://cao.dolgi.msk.ru/account/1056000784/", 1056000784)</f>
        <v>1056000784</v>
      </c>
      <c r="D72" s="4">
        <v>9657.7999999999993</v>
      </c>
      <c r="E72">
        <v>1.99</v>
      </c>
    </row>
    <row r="73" spans="1:5" x14ac:dyDescent="0.25">
      <c r="A73" t="s">
        <v>227</v>
      </c>
      <c r="B73" t="s">
        <v>35</v>
      </c>
      <c r="C73" s="2">
        <f>HYPERLINK("https://cao.dolgi.msk.ru/account/1056001066/", 1056001066)</f>
        <v>1056001066</v>
      </c>
      <c r="D73" s="4">
        <v>10966.01</v>
      </c>
      <c r="E73">
        <v>2.71</v>
      </c>
    </row>
    <row r="74" spans="1:5" x14ac:dyDescent="0.25">
      <c r="A74" t="s">
        <v>227</v>
      </c>
      <c r="B74" t="s">
        <v>38</v>
      </c>
      <c r="C74" s="2">
        <f>HYPERLINK("https://cao.dolgi.msk.ru/account/1056001103/", 1056001103)</f>
        <v>1056001103</v>
      </c>
      <c r="D74" s="4">
        <v>9215.1200000000008</v>
      </c>
      <c r="E74">
        <v>1.26</v>
      </c>
    </row>
    <row r="75" spans="1:5" x14ac:dyDescent="0.25">
      <c r="A75" t="s">
        <v>227</v>
      </c>
      <c r="B75" t="s">
        <v>95</v>
      </c>
      <c r="C75" s="2">
        <f>HYPERLINK("https://cao.dolgi.msk.ru/account/1056001242/", 1056001242)</f>
        <v>1056001242</v>
      </c>
      <c r="D75" s="4">
        <v>14578.07</v>
      </c>
      <c r="E75">
        <v>1.78</v>
      </c>
    </row>
    <row r="76" spans="1:5" x14ac:dyDescent="0.25">
      <c r="A76" t="s">
        <v>227</v>
      </c>
      <c r="B76" t="s">
        <v>70</v>
      </c>
      <c r="C76" s="2">
        <f>HYPERLINK("https://cao.dolgi.msk.ru/account/1056001525/", 1056001525)</f>
        <v>1056001525</v>
      </c>
      <c r="D76" s="4">
        <v>6070.76</v>
      </c>
      <c r="E76">
        <v>1.0900000000000001</v>
      </c>
    </row>
    <row r="77" spans="1:5" x14ac:dyDescent="0.25">
      <c r="A77" t="s">
        <v>227</v>
      </c>
      <c r="B77" t="s">
        <v>91</v>
      </c>
      <c r="C77" s="2">
        <f>HYPERLINK("https://cao.dolgi.msk.ru/account/1056001787/", 1056001787)</f>
        <v>1056001787</v>
      </c>
      <c r="D77" s="4">
        <v>7468.47</v>
      </c>
      <c r="E77">
        <v>1.72</v>
      </c>
    </row>
    <row r="78" spans="1:5" x14ac:dyDescent="0.25">
      <c r="A78" t="s">
        <v>227</v>
      </c>
      <c r="B78" t="s">
        <v>134</v>
      </c>
      <c r="C78" s="2">
        <f>HYPERLINK("https://cao.dolgi.msk.ru/account/1056002253/", 1056002253)</f>
        <v>1056002253</v>
      </c>
      <c r="D78" s="4">
        <v>12298.35</v>
      </c>
      <c r="E78">
        <v>3.12</v>
      </c>
    </row>
    <row r="79" spans="1:5" x14ac:dyDescent="0.25">
      <c r="A79" t="s">
        <v>227</v>
      </c>
      <c r="B79" t="s">
        <v>135</v>
      </c>
      <c r="C79" s="2">
        <f>HYPERLINK("https://cao.dolgi.msk.ru/account/1056002261/", 1056002261)</f>
        <v>1056002261</v>
      </c>
      <c r="D79" s="4">
        <v>5830.29</v>
      </c>
      <c r="E79">
        <v>1.23</v>
      </c>
    </row>
    <row r="80" spans="1:5" x14ac:dyDescent="0.25">
      <c r="A80" t="s">
        <v>227</v>
      </c>
      <c r="B80" t="s">
        <v>172</v>
      </c>
      <c r="C80" s="2">
        <f>HYPERLINK("https://cao.dolgi.msk.ru/account/1056002755/", 1056002755)</f>
        <v>1056002755</v>
      </c>
      <c r="D80" s="4">
        <v>32828.5</v>
      </c>
      <c r="E80">
        <v>3.96</v>
      </c>
    </row>
    <row r="81" spans="1:5" x14ac:dyDescent="0.25">
      <c r="A81" t="s">
        <v>228</v>
      </c>
      <c r="B81" t="s">
        <v>19</v>
      </c>
      <c r="C81" s="2">
        <f>HYPERLINK("https://cao.dolgi.msk.ru/account/1055000643/", 1055000643)</f>
        <v>1055000643</v>
      </c>
      <c r="D81" s="4">
        <v>12473.53</v>
      </c>
      <c r="E81">
        <v>1.19</v>
      </c>
    </row>
    <row r="82" spans="1:5" x14ac:dyDescent="0.25">
      <c r="A82" t="s">
        <v>228</v>
      </c>
      <c r="B82" t="s">
        <v>229</v>
      </c>
      <c r="C82" s="2">
        <f>HYPERLINK("https://cao.dolgi.msk.ru/account/1050695685/", 1050695685)</f>
        <v>1050695685</v>
      </c>
      <c r="D82" s="4">
        <v>16963.37</v>
      </c>
      <c r="E82">
        <v>1.72</v>
      </c>
    </row>
    <row r="83" spans="1:5" x14ac:dyDescent="0.25">
      <c r="A83" t="s">
        <v>228</v>
      </c>
      <c r="B83" t="s">
        <v>70</v>
      </c>
      <c r="C83" s="2">
        <f>HYPERLINK("https://cao.dolgi.msk.ru/account/1050670824/", 1050670824)</f>
        <v>1050670824</v>
      </c>
      <c r="D83" s="4">
        <v>10820.26</v>
      </c>
      <c r="E83">
        <v>3.2</v>
      </c>
    </row>
    <row r="84" spans="1:5" x14ac:dyDescent="0.25">
      <c r="A84" t="s">
        <v>228</v>
      </c>
      <c r="B84" t="s">
        <v>72</v>
      </c>
      <c r="C84" s="2">
        <f>HYPERLINK("https://cao.dolgi.msk.ru/account/1055000627/", 1055000627)</f>
        <v>1055000627</v>
      </c>
      <c r="D84" s="4">
        <v>5018.3999999999996</v>
      </c>
      <c r="E84">
        <v>1.07</v>
      </c>
    </row>
    <row r="85" spans="1:5" x14ac:dyDescent="0.25">
      <c r="A85" t="s">
        <v>228</v>
      </c>
      <c r="B85" t="s">
        <v>83</v>
      </c>
      <c r="C85" s="2">
        <f>HYPERLINK("https://cao.dolgi.msk.ru/account/1050670875/", 1050670875)</f>
        <v>1050670875</v>
      </c>
      <c r="D85" s="4">
        <v>6552.89</v>
      </c>
      <c r="E85">
        <v>1.92</v>
      </c>
    </row>
    <row r="86" spans="1:5" x14ac:dyDescent="0.25">
      <c r="A86" t="s">
        <v>228</v>
      </c>
      <c r="B86" t="s">
        <v>148</v>
      </c>
      <c r="C86" s="2">
        <f>HYPERLINK("https://cao.dolgi.msk.ru/account/1056018159/", 1056018159)</f>
        <v>1056018159</v>
      </c>
      <c r="D86" s="4">
        <v>17475.060000000001</v>
      </c>
      <c r="E86">
        <v>2.75</v>
      </c>
    </row>
    <row r="87" spans="1:5" x14ac:dyDescent="0.25">
      <c r="A87" t="s">
        <v>228</v>
      </c>
      <c r="B87" t="s">
        <v>153</v>
      </c>
      <c r="C87" s="2">
        <f>HYPERLINK("https://cao.dolgi.msk.ru/account/1050791933/", 1050791933)</f>
        <v>1050791933</v>
      </c>
      <c r="D87" s="4">
        <v>18150.84</v>
      </c>
      <c r="E87">
        <v>2.0299999999999998</v>
      </c>
    </row>
    <row r="88" spans="1:5" x14ac:dyDescent="0.25">
      <c r="A88" t="s">
        <v>230</v>
      </c>
      <c r="B88" t="s">
        <v>17</v>
      </c>
      <c r="C88" s="2">
        <f>HYPERLINK("https://cao.dolgi.msk.ru/account/1050698595/", 1050698595)</f>
        <v>1050698595</v>
      </c>
      <c r="D88" s="4">
        <v>11900.6</v>
      </c>
      <c r="E88">
        <v>1.83</v>
      </c>
    </row>
    <row r="89" spans="1:5" x14ac:dyDescent="0.25">
      <c r="A89" t="s">
        <v>230</v>
      </c>
      <c r="B89" t="s">
        <v>93</v>
      </c>
      <c r="C89" s="2">
        <f>HYPERLINK("https://cao.dolgi.msk.ru/account/1050698616/", 1050698616)</f>
        <v>1050698616</v>
      </c>
      <c r="D89" s="4">
        <v>45808.160000000003</v>
      </c>
      <c r="E89">
        <v>9.17</v>
      </c>
    </row>
    <row r="90" spans="1:5" x14ac:dyDescent="0.25">
      <c r="A90" t="s">
        <v>230</v>
      </c>
      <c r="B90" t="s">
        <v>23</v>
      </c>
      <c r="C90" s="2">
        <f>HYPERLINK("https://cao.dolgi.msk.ru/account/1050698675/", 1050698675)</f>
        <v>1050698675</v>
      </c>
      <c r="D90" s="4">
        <v>6386.27</v>
      </c>
      <c r="E90">
        <v>1.18</v>
      </c>
    </row>
    <row r="91" spans="1:5" x14ac:dyDescent="0.25">
      <c r="A91" t="s">
        <v>230</v>
      </c>
      <c r="B91" t="s">
        <v>33</v>
      </c>
      <c r="C91" s="2">
        <f>HYPERLINK("https://cao.dolgi.msk.ru/account/1050698771/", 1050698771)</f>
        <v>1050698771</v>
      </c>
      <c r="D91" s="4">
        <v>19194.29</v>
      </c>
      <c r="E91">
        <v>1.99</v>
      </c>
    </row>
    <row r="92" spans="1:5" x14ac:dyDescent="0.25">
      <c r="A92" t="s">
        <v>230</v>
      </c>
      <c r="B92" t="s">
        <v>44</v>
      </c>
      <c r="C92" s="2">
        <f>HYPERLINK("https://cao.dolgi.msk.ru/account/1050698915/", 1050698915)</f>
        <v>1050698915</v>
      </c>
      <c r="D92" s="4">
        <v>17767.63</v>
      </c>
      <c r="E92">
        <v>2.98</v>
      </c>
    </row>
    <row r="93" spans="1:5" x14ac:dyDescent="0.25">
      <c r="A93" t="s">
        <v>230</v>
      </c>
      <c r="B93" t="s">
        <v>56</v>
      </c>
      <c r="C93" s="2">
        <f>HYPERLINK("https://cao.dolgi.msk.ru/account/1050701424/", 1050701424)</f>
        <v>1050701424</v>
      </c>
      <c r="D93" s="4">
        <v>6768.96</v>
      </c>
      <c r="E93">
        <v>1.01</v>
      </c>
    </row>
    <row r="94" spans="1:5" x14ac:dyDescent="0.25">
      <c r="A94" t="s">
        <v>230</v>
      </c>
      <c r="B94" t="s">
        <v>65</v>
      </c>
      <c r="C94" s="2">
        <f>HYPERLINK("https://cao.dolgi.msk.ru/account/1050699192/", 1050699192)</f>
        <v>1050699192</v>
      </c>
      <c r="D94" s="4">
        <v>6869.66</v>
      </c>
      <c r="E94">
        <v>1.01</v>
      </c>
    </row>
    <row r="95" spans="1:5" x14ac:dyDescent="0.25">
      <c r="A95" t="s">
        <v>230</v>
      </c>
      <c r="B95" t="s">
        <v>97</v>
      </c>
      <c r="C95" s="2">
        <f>HYPERLINK("https://cao.dolgi.msk.ru/account/1050699539/", 1050699539)</f>
        <v>1050699539</v>
      </c>
      <c r="D95" s="4">
        <v>20143.45</v>
      </c>
      <c r="E95">
        <v>2.97</v>
      </c>
    </row>
    <row r="96" spans="1:5" x14ac:dyDescent="0.25">
      <c r="A96" t="s">
        <v>230</v>
      </c>
      <c r="B96" t="s">
        <v>122</v>
      </c>
      <c r="C96" s="2">
        <f>HYPERLINK("https://cao.dolgi.msk.ru/account/1050699854/", 1050699854)</f>
        <v>1050699854</v>
      </c>
      <c r="D96" s="4">
        <v>12468.41</v>
      </c>
      <c r="E96">
        <v>1.87</v>
      </c>
    </row>
    <row r="97" spans="1:5" x14ac:dyDescent="0.25">
      <c r="A97" t="s">
        <v>230</v>
      </c>
      <c r="B97" t="s">
        <v>124</v>
      </c>
      <c r="C97" s="2">
        <f>HYPERLINK("https://cao.dolgi.msk.ru/account/1050699889/", 1050699889)</f>
        <v>1050699889</v>
      </c>
      <c r="D97" s="4">
        <v>9937.9500000000007</v>
      </c>
      <c r="E97">
        <v>2.72</v>
      </c>
    </row>
    <row r="98" spans="1:5" x14ac:dyDescent="0.25">
      <c r="A98" t="s">
        <v>230</v>
      </c>
      <c r="B98" t="s">
        <v>125</v>
      </c>
      <c r="C98" s="2">
        <f>HYPERLINK("https://cao.dolgi.msk.ru/account/1050699897/", 1050699897)</f>
        <v>1050699897</v>
      </c>
      <c r="D98" s="4">
        <v>16655.89</v>
      </c>
      <c r="E98">
        <v>3.95</v>
      </c>
    </row>
    <row r="99" spans="1:5" x14ac:dyDescent="0.25">
      <c r="A99" t="s">
        <v>230</v>
      </c>
      <c r="B99" t="s">
        <v>147</v>
      </c>
      <c r="C99" s="2">
        <f>HYPERLINK("https://cao.dolgi.msk.ru/account/1050700122/", 1050700122)</f>
        <v>1050700122</v>
      </c>
      <c r="D99" s="4">
        <v>11809.48</v>
      </c>
      <c r="E99">
        <v>2.11</v>
      </c>
    </row>
    <row r="100" spans="1:5" x14ac:dyDescent="0.25">
      <c r="A100" t="s">
        <v>231</v>
      </c>
      <c r="B100" t="s">
        <v>8</v>
      </c>
      <c r="C100" s="2">
        <f>HYPERLINK("https://cao.dolgi.msk.ru/account/1050665849/", 1050665849)</f>
        <v>1050665849</v>
      </c>
      <c r="D100" s="4">
        <v>9977.52</v>
      </c>
      <c r="E100">
        <v>1.26</v>
      </c>
    </row>
    <row r="101" spans="1:5" x14ac:dyDescent="0.25">
      <c r="A101" t="s">
        <v>231</v>
      </c>
      <c r="B101" t="s">
        <v>9</v>
      </c>
      <c r="C101" s="2">
        <f>HYPERLINK("https://cao.dolgi.msk.ru/account/1050665865/", 1050665865)</f>
        <v>1050665865</v>
      </c>
      <c r="D101" s="4">
        <v>10098.290000000001</v>
      </c>
      <c r="E101">
        <v>1.79</v>
      </c>
    </row>
    <row r="102" spans="1:5" x14ac:dyDescent="0.25">
      <c r="A102" t="s">
        <v>231</v>
      </c>
      <c r="B102" t="s">
        <v>18</v>
      </c>
      <c r="C102" s="2">
        <f>HYPERLINK("https://cao.dolgi.msk.ru/account/1050666008/", 1050666008)</f>
        <v>1050666008</v>
      </c>
      <c r="D102" s="4">
        <v>13756.17</v>
      </c>
      <c r="E102">
        <v>2.0099999999999998</v>
      </c>
    </row>
    <row r="103" spans="1:5" x14ac:dyDescent="0.25">
      <c r="A103" t="s">
        <v>232</v>
      </c>
      <c r="B103" t="s">
        <v>21</v>
      </c>
      <c r="C103" s="2">
        <f>HYPERLINK("https://cao.dolgi.msk.ru/account/1050668898/", 1050668898)</f>
        <v>1050668898</v>
      </c>
      <c r="D103" s="4">
        <v>7161.82</v>
      </c>
      <c r="E103">
        <v>1.18</v>
      </c>
    </row>
    <row r="104" spans="1:5" x14ac:dyDescent="0.25">
      <c r="A104" t="s">
        <v>232</v>
      </c>
      <c r="B104" t="s">
        <v>24</v>
      </c>
      <c r="C104" s="2">
        <f>HYPERLINK("https://cao.dolgi.msk.ru/account/1050669903/", 1050669903)</f>
        <v>1050669903</v>
      </c>
      <c r="D104" s="4">
        <v>7647.44</v>
      </c>
      <c r="E104">
        <v>1.1499999999999999</v>
      </c>
    </row>
    <row r="105" spans="1:5" x14ac:dyDescent="0.25">
      <c r="A105" t="s">
        <v>232</v>
      </c>
      <c r="B105" t="s">
        <v>38</v>
      </c>
      <c r="C105" s="2">
        <f>HYPERLINK("https://cao.dolgi.msk.ru/account/1050670349/", 1050670349)</f>
        <v>1050670349</v>
      </c>
      <c r="D105" s="4">
        <v>15626.77</v>
      </c>
      <c r="E105">
        <v>2</v>
      </c>
    </row>
    <row r="106" spans="1:5" x14ac:dyDescent="0.25">
      <c r="A106" t="s">
        <v>233</v>
      </c>
      <c r="B106" t="s">
        <v>93</v>
      </c>
      <c r="C106" s="2">
        <f>HYPERLINK("https://cao.dolgi.msk.ru/account/1050666534/", 1050666534)</f>
        <v>1050666534</v>
      </c>
      <c r="D106" s="4">
        <v>6231.5</v>
      </c>
      <c r="E106">
        <v>1.08</v>
      </c>
    </row>
    <row r="107" spans="1:5" x14ac:dyDescent="0.25">
      <c r="A107" t="s">
        <v>233</v>
      </c>
      <c r="B107" t="s">
        <v>30</v>
      </c>
      <c r="C107" s="2">
        <f>HYPERLINK("https://cao.dolgi.msk.ru/account/1050666745/", 1050666745)</f>
        <v>1050666745</v>
      </c>
      <c r="D107" s="4">
        <v>19679.88</v>
      </c>
      <c r="E107">
        <v>2</v>
      </c>
    </row>
    <row r="108" spans="1:5" x14ac:dyDescent="0.25">
      <c r="A108" t="s">
        <v>233</v>
      </c>
      <c r="B108" t="s">
        <v>46</v>
      </c>
      <c r="C108" s="2">
        <f>HYPERLINK("https://cao.dolgi.msk.ru/account/1050666841/", 1050666841)</f>
        <v>1050666841</v>
      </c>
      <c r="D108" s="4">
        <v>6532.86</v>
      </c>
      <c r="E108">
        <v>1.01</v>
      </c>
    </row>
    <row r="109" spans="1:5" x14ac:dyDescent="0.25">
      <c r="A109" t="s">
        <v>233</v>
      </c>
      <c r="B109" t="s">
        <v>54</v>
      </c>
      <c r="C109" s="2">
        <f>HYPERLINK("https://cao.dolgi.msk.ru/account/1050667123/", 1050667123)</f>
        <v>1050667123</v>
      </c>
      <c r="D109" s="4">
        <v>10306.74</v>
      </c>
      <c r="E109">
        <v>2</v>
      </c>
    </row>
    <row r="110" spans="1:5" x14ac:dyDescent="0.25">
      <c r="A110" t="s">
        <v>234</v>
      </c>
      <c r="B110" t="s">
        <v>6</v>
      </c>
      <c r="C110" s="2">
        <f>HYPERLINK("https://cao.dolgi.msk.ru/account/1050661653/", 1050661653)</f>
        <v>1050661653</v>
      </c>
      <c r="D110" s="4">
        <v>23014.16</v>
      </c>
      <c r="E110">
        <v>2.84</v>
      </c>
    </row>
    <row r="111" spans="1:5" x14ac:dyDescent="0.25">
      <c r="A111" t="s">
        <v>234</v>
      </c>
      <c r="B111" t="s">
        <v>12</v>
      </c>
      <c r="C111" s="2">
        <f>HYPERLINK("https://cao.dolgi.msk.ru/account/1058025539/", 1058025539)</f>
        <v>1058025539</v>
      </c>
      <c r="D111" s="4">
        <v>30345.25</v>
      </c>
      <c r="E111">
        <v>2.02</v>
      </c>
    </row>
    <row r="112" spans="1:5" x14ac:dyDescent="0.25">
      <c r="A112" t="s">
        <v>234</v>
      </c>
      <c r="B112" t="s">
        <v>35</v>
      </c>
      <c r="C112" s="2">
        <f>HYPERLINK("https://cao.dolgi.msk.ru/account/1050662015/", 1050662015)</f>
        <v>1050662015</v>
      </c>
      <c r="D112" s="4">
        <v>53018.64</v>
      </c>
      <c r="E112">
        <v>3.99</v>
      </c>
    </row>
    <row r="113" spans="1:5" x14ac:dyDescent="0.25">
      <c r="A113" t="s">
        <v>235</v>
      </c>
      <c r="B113" t="s">
        <v>26</v>
      </c>
      <c r="C113" s="2">
        <f>HYPERLINK("https://cao.dolgi.msk.ru/account/1050662584/", 1050662584)</f>
        <v>1050662584</v>
      </c>
      <c r="D113" s="4">
        <v>11944.03</v>
      </c>
      <c r="E113">
        <v>1.55</v>
      </c>
    </row>
    <row r="114" spans="1:5" x14ac:dyDescent="0.25">
      <c r="A114" t="s">
        <v>235</v>
      </c>
      <c r="B114" t="s">
        <v>38</v>
      </c>
      <c r="C114" s="2">
        <f>HYPERLINK("https://cao.dolgi.msk.ru/account/1050662859/", 1050662859)</f>
        <v>1050662859</v>
      </c>
      <c r="D114" s="4">
        <v>13225.64</v>
      </c>
      <c r="E114">
        <v>1.95</v>
      </c>
    </row>
    <row r="115" spans="1:5" x14ac:dyDescent="0.25">
      <c r="A115" t="s">
        <v>235</v>
      </c>
      <c r="B115" t="s">
        <v>63</v>
      </c>
      <c r="C115" s="2">
        <f>HYPERLINK("https://cao.dolgi.msk.ru/account/1050663413/", 1050663413)</f>
        <v>1050663413</v>
      </c>
      <c r="D115" s="4">
        <v>12752.91</v>
      </c>
      <c r="E115">
        <v>1.34</v>
      </c>
    </row>
    <row r="116" spans="1:5" x14ac:dyDescent="0.25">
      <c r="A116" t="s">
        <v>236</v>
      </c>
      <c r="B116" t="s">
        <v>7</v>
      </c>
      <c r="C116" s="2">
        <f>HYPERLINK("https://cao.dolgi.msk.ru/account/1050663624/", 1050663624)</f>
        <v>1050663624</v>
      </c>
      <c r="D116" s="4">
        <v>97615.77</v>
      </c>
      <c r="E116">
        <v>12</v>
      </c>
    </row>
    <row r="117" spans="1:5" x14ac:dyDescent="0.25">
      <c r="A117" t="s">
        <v>236</v>
      </c>
      <c r="B117" t="s">
        <v>34</v>
      </c>
      <c r="C117" s="2">
        <f>HYPERLINK("https://cao.dolgi.msk.ru/account/1050664301/", 1050664301)</f>
        <v>1050664301</v>
      </c>
      <c r="D117" s="4">
        <v>8192.2800000000007</v>
      </c>
      <c r="E117">
        <v>1.02</v>
      </c>
    </row>
    <row r="118" spans="1:5" x14ac:dyDescent="0.25">
      <c r="A118" t="s">
        <v>236</v>
      </c>
      <c r="B118" t="s">
        <v>52</v>
      </c>
      <c r="C118" s="2">
        <f>HYPERLINK("https://cao.dolgi.msk.ru/account/1050664512/", 1050664512)</f>
        <v>1050664512</v>
      </c>
      <c r="D118" s="4">
        <v>42538.69</v>
      </c>
      <c r="E118">
        <v>5.44</v>
      </c>
    </row>
    <row r="119" spans="1:5" x14ac:dyDescent="0.25">
      <c r="A119" t="s">
        <v>236</v>
      </c>
      <c r="B119" t="s">
        <v>53</v>
      </c>
      <c r="C119" s="2">
        <f>HYPERLINK("https://cao.dolgi.msk.ru/account/1050664539/", 1050664539)</f>
        <v>1050664539</v>
      </c>
      <c r="D119" s="4">
        <v>22452.14</v>
      </c>
      <c r="E119">
        <v>2.21</v>
      </c>
    </row>
    <row r="120" spans="1:5" x14ac:dyDescent="0.25">
      <c r="A120" t="s">
        <v>237</v>
      </c>
      <c r="B120" t="s">
        <v>9</v>
      </c>
      <c r="C120" s="2">
        <f>HYPERLINK("https://cao.dolgi.msk.ru/account/1050446857/", 1050446857)</f>
        <v>1050446857</v>
      </c>
      <c r="D120" s="4">
        <v>12650.2</v>
      </c>
      <c r="E120">
        <v>1.97</v>
      </c>
    </row>
    <row r="121" spans="1:5" x14ac:dyDescent="0.25">
      <c r="A121" t="s">
        <v>237</v>
      </c>
      <c r="B121" t="s">
        <v>17</v>
      </c>
      <c r="C121" s="2">
        <f>HYPERLINK("https://cao.dolgi.msk.ru/account/1058143607/", 1058143607)</f>
        <v>1058143607</v>
      </c>
      <c r="D121" s="4">
        <v>21204.7</v>
      </c>
      <c r="E121">
        <v>1.99</v>
      </c>
    </row>
    <row r="122" spans="1:5" x14ac:dyDescent="0.25">
      <c r="A122" t="s">
        <v>237</v>
      </c>
      <c r="B122" t="s">
        <v>93</v>
      </c>
      <c r="C122" s="2">
        <f>HYPERLINK("https://cao.dolgi.msk.ru/account/1050447059/", 1050447059)</f>
        <v>1050447059</v>
      </c>
      <c r="D122" s="4">
        <v>9697.43</v>
      </c>
      <c r="E122">
        <v>1.96</v>
      </c>
    </row>
    <row r="123" spans="1:5" x14ac:dyDescent="0.25">
      <c r="A123" t="s">
        <v>237</v>
      </c>
      <c r="B123" t="s">
        <v>36</v>
      </c>
      <c r="C123" s="2">
        <f>HYPERLINK("https://cao.dolgi.msk.ru/account/1050447446/", 1050447446)</f>
        <v>1050447446</v>
      </c>
      <c r="D123" s="4">
        <v>6167.22</v>
      </c>
      <c r="E123">
        <v>1.02</v>
      </c>
    </row>
    <row r="124" spans="1:5" x14ac:dyDescent="0.25">
      <c r="A124" t="s">
        <v>237</v>
      </c>
      <c r="B124" t="s">
        <v>40</v>
      </c>
      <c r="C124" s="2">
        <f>HYPERLINK("https://cao.dolgi.msk.ru/account/1050447577/", 1050447577)</f>
        <v>1050447577</v>
      </c>
      <c r="D124" s="4">
        <v>21569.54</v>
      </c>
      <c r="E124">
        <v>3.11</v>
      </c>
    </row>
    <row r="125" spans="1:5" x14ac:dyDescent="0.25">
      <c r="A125" t="s">
        <v>238</v>
      </c>
      <c r="B125" t="s">
        <v>23</v>
      </c>
      <c r="C125" s="2">
        <f>HYPERLINK("https://cao.dolgi.msk.ru/account/1050450805/", 1050450805)</f>
        <v>1050450805</v>
      </c>
      <c r="D125" s="4">
        <v>13588.77</v>
      </c>
      <c r="E125">
        <v>1.96</v>
      </c>
    </row>
    <row r="126" spans="1:5" x14ac:dyDescent="0.25">
      <c r="A126" t="s">
        <v>238</v>
      </c>
      <c r="B126" t="s">
        <v>27</v>
      </c>
      <c r="C126" s="2">
        <f>HYPERLINK("https://cao.dolgi.msk.ru/account/1050450848/", 1050450848)</f>
        <v>1050450848</v>
      </c>
      <c r="D126" s="4">
        <v>18466.11</v>
      </c>
      <c r="E126">
        <v>1.75</v>
      </c>
    </row>
    <row r="127" spans="1:5" x14ac:dyDescent="0.25">
      <c r="A127" t="s">
        <v>238</v>
      </c>
      <c r="B127" t="s">
        <v>38</v>
      </c>
      <c r="C127" s="2">
        <f>HYPERLINK("https://cao.dolgi.msk.ru/account/1050451007/", 1050451007)</f>
        <v>1050451007</v>
      </c>
      <c r="D127" s="4">
        <v>7912.62</v>
      </c>
      <c r="E127">
        <v>1.9</v>
      </c>
    </row>
    <row r="128" spans="1:5" x14ac:dyDescent="0.25">
      <c r="A128" t="s">
        <v>239</v>
      </c>
      <c r="B128" t="s">
        <v>27</v>
      </c>
      <c r="C128" s="2">
        <f>HYPERLINK("https://cao.dolgi.msk.ru/account/1050485709/", 1050485709)</f>
        <v>1050485709</v>
      </c>
      <c r="D128" s="4">
        <v>335117.57</v>
      </c>
      <c r="E128">
        <v>44.57</v>
      </c>
    </row>
    <row r="129" spans="1:5" x14ac:dyDescent="0.25">
      <c r="A129" t="s">
        <v>239</v>
      </c>
      <c r="B129" t="s">
        <v>30</v>
      </c>
      <c r="C129" s="2">
        <f>HYPERLINK("https://cao.dolgi.msk.ru/account/1050485768/", 1050485768)</f>
        <v>1050485768</v>
      </c>
      <c r="D129" s="4">
        <v>5615.01</v>
      </c>
      <c r="E129">
        <v>1.01</v>
      </c>
    </row>
    <row r="130" spans="1:5" x14ac:dyDescent="0.25">
      <c r="A130" t="s">
        <v>240</v>
      </c>
      <c r="B130" t="s">
        <v>51</v>
      </c>
      <c r="C130" s="2">
        <f>HYPERLINK("https://cao.dolgi.msk.ru/account/1050481142/", 1050481142)</f>
        <v>1050481142</v>
      </c>
      <c r="D130" s="4">
        <v>21844.46</v>
      </c>
      <c r="E130">
        <v>4.18</v>
      </c>
    </row>
    <row r="131" spans="1:5" x14ac:dyDescent="0.25">
      <c r="A131" t="s">
        <v>240</v>
      </c>
      <c r="B131" t="s">
        <v>53</v>
      </c>
      <c r="C131" s="2">
        <f>HYPERLINK("https://cao.dolgi.msk.ru/account/1050481177/", 1050481177)</f>
        <v>1050481177</v>
      </c>
      <c r="D131" s="4">
        <v>11372.17</v>
      </c>
      <c r="E131">
        <v>1.82</v>
      </c>
    </row>
    <row r="132" spans="1:5" x14ac:dyDescent="0.25">
      <c r="A132" t="s">
        <v>240</v>
      </c>
      <c r="B132" t="s">
        <v>61</v>
      </c>
      <c r="C132" s="2">
        <f>HYPERLINK("https://cao.dolgi.msk.ru/account/1050481265/", 1050481265)</f>
        <v>1050481265</v>
      </c>
      <c r="D132" s="4">
        <v>8417.35</v>
      </c>
      <c r="E132">
        <v>1.5</v>
      </c>
    </row>
    <row r="133" spans="1:5" x14ac:dyDescent="0.25">
      <c r="A133" t="s">
        <v>240</v>
      </c>
      <c r="B133" t="s">
        <v>82</v>
      </c>
      <c r="C133" s="2">
        <f>HYPERLINK("https://cao.dolgi.msk.ru/account/1050481513/", 1050481513)</f>
        <v>1050481513</v>
      </c>
      <c r="D133" s="4">
        <v>5126.2700000000004</v>
      </c>
      <c r="E133">
        <v>1.1200000000000001</v>
      </c>
    </row>
    <row r="134" spans="1:5" x14ac:dyDescent="0.25">
      <c r="A134" t="s">
        <v>240</v>
      </c>
      <c r="B134" t="s">
        <v>98</v>
      </c>
      <c r="C134" s="2">
        <f>HYPERLINK("https://cao.dolgi.msk.ru/account/1050481679/", 1050481679)</f>
        <v>1050481679</v>
      </c>
      <c r="D134" s="4">
        <v>24387.55</v>
      </c>
      <c r="E134">
        <v>1.99</v>
      </c>
    </row>
    <row r="135" spans="1:5" x14ac:dyDescent="0.25">
      <c r="A135" t="s">
        <v>240</v>
      </c>
      <c r="B135" t="s">
        <v>102</v>
      </c>
      <c r="C135" s="2">
        <f>HYPERLINK("https://cao.dolgi.msk.ru/account/1050481716/", 1050481716)</f>
        <v>1050481716</v>
      </c>
      <c r="D135" s="4">
        <v>11037.58</v>
      </c>
      <c r="E135">
        <v>1.81</v>
      </c>
    </row>
    <row r="136" spans="1:5" x14ac:dyDescent="0.25">
      <c r="A136" t="s">
        <v>240</v>
      </c>
      <c r="B136" t="s">
        <v>107</v>
      </c>
      <c r="C136" s="2">
        <f>HYPERLINK("https://cao.dolgi.msk.ru/account/1050481767/", 1050481767)</f>
        <v>1050481767</v>
      </c>
      <c r="D136" s="4">
        <v>12359.73</v>
      </c>
      <c r="E136">
        <v>1.97</v>
      </c>
    </row>
    <row r="137" spans="1:5" x14ac:dyDescent="0.25">
      <c r="A137" t="s">
        <v>240</v>
      </c>
      <c r="B137" t="s">
        <v>137</v>
      </c>
      <c r="C137" s="2">
        <f>HYPERLINK("https://cao.dolgi.msk.ru/account/1050481919/", 1050481919)</f>
        <v>1050481919</v>
      </c>
      <c r="D137" s="4">
        <v>7314.31</v>
      </c>
      <c r="E137">
        <v>1.94</v>
      </c>
    </row>
    <row r="138" spans="1:5" x14ac:dyDescent="0.25">
      <c r="A138" t="s">
        <v>240</v>
      </c>
      <c r="B138" t="s">
        <v>121</v>
      </c>
      <c r="C138" s="2">
        <f>HYPERLINK("https://cao.dolgi.msk.ru/account/1050481951/", 1050481951)</f>
        <v>1050481951</v>
      </c>
      <c r="D138" s="4">
        <v>38635.71</v>
      </c>
      <c r="E138">
        <v>5</v>
      </c>
    </row>
    <row r="139" spans="1:5" x14ac:dyDescent="0.25">
      <c r="A139" t="s">
        <v>241</v>
      </c>
      <c r="B139" t="s">
        <v>63</v>
      </c>
      <c r="C139" s="2">
        <f>HYPERLINK("https://cao.dolgi.msk.ru/account/1050294646/", 1050294646)</f>
        <v>1050294646</v>
      </c>
      <c r="D139" s="4">
        <v>11369.46</v>
      </c>
      <c r="E139">
        <v>2</v>
      </c>
    </row>
    <row r="140" spans="1:5" x14ac:dyDescent="0.25">
      <c r="A140" t="s">
        <v>242</v>
      </c>
      <c r="B140" t="s">
        <v>12</v>
      </c>
      <c r="C140" s="2">
        <f>HYPERLINK("https://cao.dolgi.msk.ru/account/1050588599/", 1050588599)</f>
        <v>1050588599</v>
      </c>
      <c r="D140" s="4">
        <v>168001.13</v>
      </c>
      <c r="E140">
        <v>14.65</v>
      </c>
    </row>
    <row r="141" spans="1:5" x14ac:dyDescent="0.25">
      <c r="A141" t="s">
        <v>242</v>
      </c>
      <c r="B141" t="s">
        <v>41</v>
      </c>
      <c r="C141" s="2">
        <f>HYPERLINK("https://cao.dolgi.msk.ru/account/1050589751/", 1050589751)</f>
        <v>1050589751</v>
      </c>
      <c r="D141" s="4">
        <v>321921.43</v>
      </c>
      <c r="E141">
        <v>19.45</v>
      </c>
    </row>
    <row r="142" spans="1:5" x14ac:dyDescent="0.25">
      <c r="A142" t="s">
        <v>243</v>
      </c>
      <c r="B142" t="s">
        <v>17</v>
      </c>
      <c r="C142" s="2">
        <f>HYPERLINK("https://cao.dolgi.msk.ru/account/1050584395/", 1050584395)</f>
        <v>1050584395</v>
      </c>
      <c r="D142" s="4">
        <v>24238.98</v>
      </c>
      <c r="E142">
        <v>3</v>
      </c>
    </row>
    <row r="143" spans="1:5" x14ac:dyDescent="0.25">
      <c r="A143" t="s">
        <v>244</v>
      </c>
      <c r="B143" t="s">
        <v>11</v>
      </c>
      <c r="C143" s="2">
        <f>HYPERLINK("https://cao.dolgi.msk.ru/account/1050558074/", 1050558074)</f>
        <v>1050558074</v>
      </c>
      <c r="D143" s="4">
        <v>25836.43</v>
      </c>
      <c r="E143">
        <v>4.22</v>
      </c>
    </row>
    <row r="144" spans="1:5" x14ac:dyDescent="0.25">
      <c r="A144" t="s">
        <v>244</v>
      </c>
      <c r="B144" t="s">
        <v>13</v>
      </c>
      <c r="C144" s="2">
        <f>HYPERLINK("https://cao.dolgi.msk.ru/account/1050558138/", 1050558138)</f>
        <v>1050558138</v>
      </c>
      <c r="D144" s="4">
        <v>22258.7</v>
      </c>
      <c r="E144">
        <v>3.35</v>
      </c>
    </row>
    <row r="145" spans="1:5" x14ac:dyDescent="0.25">
      <c r="A145" t="s">
        <v>244</v>
      </c>
      <c r="B145" t="s">
        <v>24</v>
      </c>
      <c r="C145" s="2">
        <f>HYPERLINK("https://cao.dolgi.msk.ru/account/1050558496/", 1050558496)</f>
        <v>1050558496</v>
      </c>
      <c r="D145" s="4">
        <v>14360.95</v>
      </c>
      <c r="E145">
        <v>1.87</v>
      </c>
    </row>
    <row r="146" spans="1:5" x14ac:dyDescent="0.25">
      <c r="A146" t="s">
        <v>244</v>
      </c>
      <c r="B146" t="s">
        <v>30</v>
      </c>
      <c r="C146" s="2">
        <f>HYPERLINK("https://cao.dolgi.msk.ru/account/1058111162/", 1058111162)</f>
        <v>1058111162</v>
      </c>
      <c r="D146" s="4">
        <v>18072.84</v>
      </c>
      <c r="E146">
        <v>1.99</v>
      </c>
    </row>
    <row r="147" spans="1:5" x14ac:dyDescent="0.25">
      <c r="A147" t="s">
        <v>244</v>
      </c>
      <c r="B147" t="s">
        <v>32</v>
      </c>
      <c r="C147" s="2">
        <f>HYPERLINK("https://cao.dolgi.msk.ru/account/1058023912/", 1058023912)</f>
        <v>1058023912</v>
      </c>
      <c r="D147" s="4">
        <v>13739.14</v>
      </c>
      <c r="E147">
        <v>1.27</v>
      </c>
    </row>
    <row r="148" spans="1:5" x14ac:dyDescent="0.25">
      <c r="A148" t="s">
        <v>244</v>
      </c>
      <c r="B148" t="s">
        <v>56</v>
      </c>
      <c r="C148" s="2">
        <f>HYPERLINK("https://cao.dolgi.msk.ru/account/1050559464/", 1050559464)</f>
        <v>1050559464</v>
      </c>
      <c r="D148" s="4">
        <v>12739.54</v>
      </c>
      <c r="E148">
        <v>1.98</v>
      </c>
    </row>
    <row r="149" spans="1:5" x14ac:dyDescent="0.25">
      <c r="A149" t="s">
        <v>244</v>
      </c>
      <c r="B149" t="s">
        <v>62</v>
      </c>
      <c r="C149" s="2">
        <f>HYPERLINK("https://cao.dolgi.msk.ru/account/1050559587/", 1050559587)</f>
        <v>1050559587</v>
      </c>
      <c r="D149" s="4">
        <v>15129.61</v>
      </c>
      <c r="E149">
        <v>1.91</v>
      </c>
    </row>
    <row r="150" spans="1:5" x14ac:dyDescent="0.25">
      <c r="A150" t="s">
        <v>245</v>
      </c>
      <c r="B150" t="s">
        <v>14</v>
      </c>
      <c r="C150" s="2">
        <f>HYPERLINK("https://cao.dolgi.msk.ru/account/1050560297/", 1050560297)</f>
        <v>1050560297</v>
      </c>
      <c r="D150" s="4">
        <v>9156.5300000000007</v>
      </c>
      <c r="E150">
        <v>1.43</v>
      </c>
    </row>
    <row r="151" spans="1:5" x14ac:dyDescent="0.25">
      <c r="A151" t="s">
        <v>245</v>
      </c>
      <c r="B151" t="s">
        <v>42</v>
      </c>
      <c r="C151" s="2">
        <f>HYPERLINK("https://cao.dolgi.msk.ru/account/1050561062/", 1050561062)</f>
        <v>1050561062</v>
      </c>
      <c r="D151" s="4">
        <v>12937.42</v>
      </c>
      <c r="E151">
        <v>2</v>
      </c>
    </row>
    <row r="152" spans="1:5" x14ac:dyDescent="0.25">
      <c r="A152" t="s">
        <v>246</v>
      </c>
      <c r="B152" t="s">
        <v>9</v>
      </c>
      <c r="C152" s="2">
        <f>HYPERLINK("https://cao.dolgi.msk.ru/account/1050262417/", 1050262417)</f>
        <v>1050262417</v>
      </c>
      <c r="D152" s="4">
        <v>37541.99</v>
      </c>
      <c r="E152">
        <v>9.19</v>
      </c>
    </row>
    <row r="153" spans="1:5" x14ac:dyDescent="0.25">
      <c r="A153" t="s">
        <v>246</v>
      </c>
      <c r="B153" t="s">
        <v>12</v>
      </c>
      <c r="C153" s="2">
        <f>HYPERLINK("https://cao.dolgi.msk.ru/account/1050262441/", 1050262441)</f>
        <v>1050262441</v>
      </c>
      <c r="D153" s="4">
        <v>12853.1</v>
      </c>
      <c r="E153">
        <v>1.98</v>
      </c>
    </row>
    <row r="154" spans="1:5" x14ac:dyDescent="0.25">
      <c r="A154" t="s">
        <v>246</v>
      </c>
      <c r="B154" t="s">
        <v>16</v>
      </c>
      <c r="C154" s="2">
        <f>HYPERLINK("https://cao.dolgi.msk.ru/account/1050262492/", 1050262492)</f>
        <v>1050262492</v>
      </c>
      <c r="D154" s="4">
        <v>27262.93</v>
      </c>
      <c r="E154">
        <v>4.2300000000000004</v>
      </c>
    </row>
    <row r="155" spans="1:5" x14ac:dyDescent="0.25">
      <c r="A155" t="s">
        <v>246</v>
      </c>
      <c r="B155" t="s">
        <v>17</v>
      </c>
      <c r="C155" s="2">
        <f>HYPERLINK("https://cao.dolgi.msk.ru/account/1050262505/", 1050262505)</f>
        <v>1050262505</v>
      </c>
      <c r="D155" s="4">
        <v>5153.97</v>
      </c>
      <c r="E155">
        <v>1.86</v>
      </c>
    </row>
    <row r="156" spans="1:5" x14ac:dyDescent="0.25">
      <c r="A156" t="s">
        <v>246</v>
      </c>
      <c r="B156" t="s">
        <v>28</v>
      </c>
      <c r="C156" s="2">
        <f>HYPERLINK("https://cao.dolgi.msk.ru/account/1050262644/", 1050262644)</f>
        <v>1050262644</v>
      </c>
      <c r="D156" s="4">
        <v>9411.49</v>
      </c>
      <c r="E156">
        <v>2.14</v>
      </c>
    </row>
    <row r="157" spans="1:5" x14ac:dyDescent="0.25">
      <c r="A157" t="s">
        <v>246</v>
      </c>
      <c r="B157" t="s">
        <v>35</v>
      </c>
      <c r="C157" s="2">
        <f>HYPERLINK("https://cao.dolgi.msk.ru/account/1050262724/", 1050262724)</f>
        <v>1050262724</v>
      </c>
      <c r="D157" s="4">
        <v>6311.51</v>
      </c>
      <c r="E157">
        <v>1.93</v>
      </c>
    </row>
    <row r="158" spans="1:5" x14ac:dyDescent="0.25">
      <c r="A158" t="s">
        <v>246</v>
      </c>
      <c r="B158" t="s">
        <v>56</v>
      </c>
      <c r="C158" s="2">
        <f>HYPERLINK("https://cao.dolgi.msk.ru/account/1050263006/", 1050263006)</f>
        <v>1050263006</v>
      </c>
      <c r="D158" s="4">
        <v>13787.44</v>
      </c>
      <c r="E158">
        <v>3.88</v>
      </c>
    </row>
    <row r="159" spans="1:5" x14ac:dyDescent="0.25">
      <c r="A159" t="s">
        <v>247</v>
      </c>
      <c r="B159" t="s">
        <v>7</v>
      </c>
      <c r="C159" s="2">
        <f>HYPERLINK("https://cao.dolgi.msk.ru/account/1050385345/", 1050385345)</f>
        <v>1050385345</v>
      </c>
      <c r="D159" s="4">
        <v>12738.47</v>
      </c>
      <c r="E159">
        <v>1.98</v>
      </c>
    </row>
    <row r="160" spans="1:5" x14ac:dyDescent="0.25">
      <c r="A160" t="s">
        <v>247</v>
      </c>
      <c r="B160" t="s">
        <v>14</v>
      </c>
      <c r="C160" s="2">
        <f>HYPERLINK("https://cao.dolgi.msk.ru/account/1050385476/", 1050385476)</f>
        <v>1050385476</v>
      </c>
      <c r="D160" s="4">
        <v>24844.880000000001</v>
      </c>
      <c r="E160">
        <v>3.29</v>
      </c>
    </row>
    <row r="161" spans="1:5" x14ac:dyDescent="0.25">
      <c r="A161" t="s">
        <v>247</v>
      </c>
      <c r="B161" t="s">
        <v>46</v>
      </c>
      <c r="C161" s="2">
        <f>HYPERLINK("https://cao.dolgi.msk.ru/account/1050386073/", 1050386073)</f>
        <v>1050386073</v>
      </c>
      <c r="D161" s="4">
        <v>15013.43</v>
      </c>
      <c r="E161">
        <v>2.09</v>
      </c>
    </row>
    <row r="162" spans="1:5" x14ac:dyDescent="0.25">
      <c r="A162" t="s">
        <v>247</v>
      </c>
      <c r="B162" t="s">
        <v>50</v>
      </c>
      <c r="C162" s="2">
        <f>HYPERLINK("https://cao.dolgi.msk.ru/account/1050386209/", 1050386209)</f>
        <v>1050386209</v>
      </c>
      <c r="D162" s="4">
        <v>95310.74</v>
      </c>
      <c r="E162">
        <v>15.69</v>
      </c>
    </row>
    <row r="163" spans="1:5" x14ac:dyDescent="0.25">
      <c r="A163" t="s">
        <v>247</v>
      </c>
      <c r="B163" t="s">
        <v>86</v>
      </c>
      <c r="C163" s="2">
        <f>HYPERLINK("https://cao.dolgi.msk.ru/account/1050386794/", 1050386794)</f>
        <v>1050386794</v>
      </c>
      <c r="D163" s="4">
        <v>25735.46</v>
      </c>
      <c r="E163">
        <v>5.2</v>
      </c>
    </row>
    <row r="164" spans="1:5" x14ac:dyDescent="0.25">
      <c r="A164" t="s">
        <v>247</v>
      </c>
      <c r="B164" t="s">
        <v>91</v>
      </c>
      <c r="C164" s="2">
        <f>HYPERLINK("https://cao.dolgi.msk.ru/account/1050386882/", 1050386882)</f>
        <v>1050386882</v>
      </c>
      <c r="D164" s="4">
        <v>8091.76</v>
      </c>
      <c r="E164">
        <v>1.01</v>
      </c>
    </row>
    <row r="165" spans="1:5" x14ac:dyDescent="0.25">
      <c r="A165" t="s">
        <v>247</v>
      </c>
      <c r="B165" t="s">
        <v>101</v>
      </c>
      <c r="C165" s="2">
        <f>HYPERLINK("https://cao.dolgi.msk.ru/account/1050386997/", 1050386997)</f>
        <v>1050386997</v>
      </c>
      <c r="D165" s="4">
        <v>10549.75</v>
      </c>
      <c r="E165">
        <v>2.29</v>
      </c>
    </row>
    <row r="166" spans="1:5" x14ac:dyDescent="0.25">
      <c r="A166" t="s">
        <v>247</v>
      </c>
      <c r="B166" t="s">
        <v>108</v>
      </c>
      <c r="C166" s="2">
        <f>HYPERLINK("https://cao.dolgi.msk.ru/account/1050387092/", 1050387092)</f>
        <v>1050387092</v>
      </c>
      <c r="D166" s="4">
        <v>8436.1</v>
      </c>
      <c r="E166">
        <v>1.48</v>
      </c>
    </row>
    <row r="167" spans="1:5" x14ac:dyDescent="0.25">
      <c r="A167" t="s">
        <v>247</v>
      </c>
      <c r="B167" t="s">
        <v>110</v>
      </c>
      <c r="C167" s="2">
        <f>HYPERLINK("https://cao.dolgi.msk.ru/account/1050387121/", 1050387121)</f>
        <v>1050387121</v>
      </c>
      <c r="D167" s="4">
        <v>9210.2800000000007</v>
      </c>
      <c r="E167">
        <v>1.75</v>
      </c>
    </row>
    <row r="168" spans="1:5" x14ac:dyDescent="0.25">
      <c r="A168" t="s">
        <v>247</v>
      </c>
      <c r="B168" t="s">
        <v>112</v>
      </c>
      <c r="C168" s="2">
        <f>HYPERLINK("https://cao.dolgi.msk.ru/account/1050387156/", 1050387156)</f>
        <v>1050387156</v>
      </c>
      <c r="D168" s="4">
        <v>346901.31</v>
      </c>
      <c r="E168">
        <v>34.590000000000003</v>
      </c>
    </row>
    <row r="169" spans="1:5" x14ac:dyDescent="0.25">
      <c r="A169" t="s">
        <v>248</v>
      </c>
      <c r="B169" t="s">
        <v>13</v>
      </c>
      <c r="C169" s="2">
        <f>HYPERLINK("https://cao.dolgi.msk.ru/account/1050381993/", 1050381993)</f>
        <v>1050381993</v>
      </c>
      <c r="D169" s="4">
        <v>33476.71</v>
      </c>
      <c r="E169">
        <v>9.0299999999999994</v>
      </c>
    </row>
    <row r="170" spans="1:5" x14ac:dyDescent="0.25">
      <c r="A170" t="s">
        <v>248</v>
      </c>
      <c r="B170" t="s">
        <v>30</v>
      </c>
      <c r="C170" s="2">
        <f>HYPERLINK("https://cao.dolgi.msk.ru/account/1050382208/", 1050382208)</f>
        <v>1050382208</v>
      </c>
      <c r="D170" s="4">
        <v>23202.639999999999</v>
      </c>
      <c r="E170">
        <v>9.14</v>
      </c>
    </row>
    <row r="171" spans="1:5" x14ac:dyDescent="0.25">
      <c r="A171" t="s">
        <v>248</v>
      </c>
      <c r="B171" t="s">
        <v>39</v>
      </c>
      <c r="C171" s="2">
        <f>HYPERLINK("https://cao.dolgi.msk.ru/account/1050382304/", 1050382304)</f>
        <v>1050382304</v>
      </c>
      <c r="D171" s="4">
        <v>48325.62</v>
      </c>
      <c r="E171">
        <v>7.71</v>
      </c>
    </row>
    <row r="172" spans="1:5" x14ac:dyDescent="0.25">
      <c r="A172" t="s">
        <v>248</v>
      </c>
      <c r="B172" t="s">
        <v>94</v>
      </c>
      <c r="C172" s="2">
        <f>HYPERLINK("https://cao.dolgi.msk.ru/account/1050382427/", 1050382427)</f>
        <v>1050382427</v>
      </c>
      <c r="D172" s="4">
        <v>82435.899999999994</v>
      </c>
      <c r="E172">
        <v>12.78</v>
      </c>
    </row>
    <row r="173" spans="1:5" x14ac:dyDescent="0.25">
      <c r="A173" t="s">
        <v>248</v>
      </c>
      <c r="B173" t="s">
        <v>59</v>
      </c>
      <c r="C173" s="2">
        <f>HYPERLINK("https://cao.dolgi.msk.ru/account/1050382574/", 1050382574)</f>
        <v>1050382574</v>
      </c>
      <c r="D173" s="4">
        <v>13616.3</v>
      </c>
      <c r="E173">
        <v>2.09</v>
      </c>
    </row>
    <row r="174" spans="1:5" x14ac:dyDescent="0.25">
      <c r="A174" t="s">
        <v>248</v>
      </c>
      <c r="B174" t="s">
        <v>61</v>
      </c>
      <c r="C174" s="2">
        <f>HYPERLINK("https://cao.dolgi.msk.ru/account/1050382603/", 1050382603)</f>
        <v>1050382603</v>
      </c>
      <c r="D174" s="4">
        <v>10189.9</v>
      </c>
      <c r="E174">
        <v>3.59</v>
      </c>
    </row>
    <row r="175" spans="1:5" x14ac:dyDescent="0.25">
      <c r="A175" t="s">
        <v>248</v>
      </c>
      <c r="B175" t="s">
        <v>70</v>
      </c>
      <c r="C175" s="2">
        <f>HYPERLINK("https://cao.dolgi.msk.ru/account/1050382726/", 1050382726)</f>
        <v>1050382726</v>
      </c>
      <c r="D175" s="4">
        <v>5278.36</v>
      </c>
      <c r="E175">
        <v>1.08</v>
      </c>
    </row>
    <row r="176" spans="1:5" x14ac:dyDescent="0.25">
      <c r="A176" t="s">
        <v>248</v>
      </c>
      <c r="B176" t="s">
        <v>85</v>
      </c>
      <c r="C176" s="2">
        <f>HYPERLINK("https://cao.dolgi.msk.ru/account/1058201221/", 1058201221)</f>
        <v>1058201221</v>
      </c>
      <c r="D176" s="4">
        <v>17919.72</v>
      </c>
      <c r="E176">
        <v>3.47</v>
      </c>
    </row>
    <row r="177" spans="1:5" x14ac:dyDescent="0.25">
      <c r="A177" t="s">
        <v>249</v>
      </c>
      <c r="B177" t="s">
        <v>10</v>
      </c>
      <c r="C177" s="2">
        <f>HYPERLINK("https://cao.dolgi.msk.ru/account/1050574242/", 1050574242)</f>
        <v>1050574242</v>
      </c>
      <c r="D177" s="4">
        <v>17124.490000000002</v>
      </c>
      <c r="E177">
        <v>1.98</v>
      </c>
    </row>
    <row r="178" spans="1:5" x14ac:dyDescent="0.25">
      <c r="A178" t="s">
        <v>249</v>
      </c>
      <c r="B178" t="s">
        <v>15</v>
      </c>
      <c r="C178" s="2">
        <f>HYPERLINK("https://cao.dolgi.msk.ru/account/1050574357/", 1050574357)</f>
        <v>1050574357</v>
      </c>
      <c r="D178" s="4">
        <v>40291.550000000003</v>
      </c>
      <c r="E178">
        <v>2.98</v>
      </c>
    </row>
    <row r="179" spans="1:5" x14ac:dyDescent="0.25">
      <c r="A179" t="s">
        <v>249</v>
      </c>
      <c r="B179" t="s">
        <v>24</v>
      </c>
      <c r="C179" s="2">
        <f>HYPERLINK("https://cao.dolgi.msk.ru/account/1050574568/", 1050574568)</f>
        <v>1050574568</v>
      </c>
      <c r="D179" s="4">
        <v>27386.29</v>
      </c>
      <c r="E179">
        <v>3.04</v>
      </c>
    </row>
    <row r="180" spans="1:5" x14ac:dyDescent="0.25">
      <c r="A180" t="s">
        <v>249</v>
      </c>
      <c r="B180" t="s">
        <v>26</v>
      </c>
      <c r="C180" s="2">
        <f>HYPERLINK("https://cao.dolgi.msk.ru/account/1050574584/", 1050574584)</f>
        <v>1050574584</v>
      </c>
      <c r="D180" s="4">
        <v>7705.61</v>
      </c>
      <c r="E180">
        <v>1.04</v>
      </c>
    </row>
    <row r="181" spans="1:5" x14ac:dyDescent="0.25">
      <c r="A181" t="s">
        <v>249</v>
      </c>
      <c r="B181" t="s">
        <v>43</v>
      </c>
      <c r="C181" s="2">
        <f>HYPERLINK("https://cao.dolgi.msk.ru/account/1050574808/", 1050574808)</f>
        <v>1050574808</v>
      </c>
      <c r="D181" s="4">
        <v>30473.38</v>
      </c>
      <c r="E181">
        <v>2.97</v>
      </c>
    </row>
    <row r="182" spans="1:5" x14ac:dyDescent="0.25">
      <c r="A182" t="s">
        <v>249</v>
      </c>
      <c r="B182" t="s">
        <v>45</v>
      </c>
      <c r="C182" s="2">
        <f>HYPERLINK("https://cao.dolgi.msk.ru/account/1050574824/", 1050574824)</f>
        <v>1050574824</v>
      </c>
      <c r="D182" s="4">
        <v>7534.75</v>
      </c>
      <c r="E182">
        <v>1.01</v>
      </c>
    </row>
    <row r="183" spans="1:5" x14ac:dyDescent="0.25">
      <c r="A183" t="s">
        <v>249</v>
      </c>
      <c r="B183" t="s">
        <v>48</v>
      </c>
      <c r="C183" s="2">
        <f>HYPERLINK("https://cao.dolgi.msk.ru/account/1050574904/", 1050574904)</f>
        <v>1050574904</v>
      </c>
      <c r="D183" s="4">
        <v>17918.189999999999</v>
      </c>
      <c r="E183">
        <v>1.96</v>
      </c>
    </row>
    <row r="184" spans="1:5" x14ac:dyDescent="0.25">
      <c r="A184" t="s">
        <v>250</v>
      </c>
      <c r="B184" t="s">
        <v>17</v>
      </c>
      <c r="C184" s="2">
        <f>HYPERLINK("https://cao.dolgi.msk.ru/account/1050573805/", 1050573805)</f>
        <v>1050573805</v>
      </c>
      <c r="D184" s="4">
        <v>8906.25</v>
      </c>
      <c r="E184">
        <v>1.01</v>
      </c>
    </row>
    <row r="185" spans="1:5" x14ac:dyDescent="0.25">
      <c r="A185" t="s">
        <v>250</v>
      </c>
      <c r="B185" t="s">
        <v>21</v>
      </c>
      <c r="C185" s="2">
        <f>HYPERLINK("https://cao.dolgi.msk.ru/account/1050573864/", 1050573864)</f>
        <v>1050573864</v>
      </c>
      <c r="D185" s="4">
        <v>12113.07</v>
      </c>
      <c r="E185">
        <v>1.66</v>
      </c>
    </row>
    <row r="186" spans="1:5" x14ac:dyDescent="0.25">
      <c r="A186" t="s">
        <v>251</v>
      </c>
      <c r="B186" t="s">
        <v>15</v>
      </c>
      <c r="C186" s="2">
        <f>HYPERLINK("https://cao.dolgi.msk.ru/account/1050570532/", 1050570532)</f>
        <v>1050570532</v>
      </c>
      <c r="D186" s="4">
        <v>15608.88</v>
      </c>
      <c r="E186">
        <v>1.43</v>
      </c>
    </row>
    <row r="187" spans="1:5" x14ac:dyDescent="0.25">
      <c r="A187" t="s">
        <v>251</v>
      </c>
      <c r="B187" t="s">
        <v>19</v>
      </c>
      <c r="C187" s="2">
        <f>HYPERLINK("https://cao.dolgi.msk.ru/account/1050570989/", 1050570989)</f>
        <v>1050570989</v>
      </c>
      <c r="D187" s="4">
        <v>270791.53000000003</v>
      </c>
      <c r="E187">
        <v>41.7</v>
      </c>
    </row>
    <row r="188" spans="1:5" x14ac:dyDescent="0.25">
      <c r="A188" t="s">
        <v>251</v>
      </c>
      <c r="B188" t="s">
        <v>28</v>
      </c>
      <c r="C188" s="2">
        <f>HYPERLINK("https://cao.dolgi.msk.ru/account/1050571391/", 1050571391)</f>
        <v>1050571391</v>
      </c>
      <c r="D188" s="4">
        <v>11339.26</v>
      </c>
      <c r="E188">
        <v>2.04</v>
      </c>
    </row>
    <row r="189" spans="1:5" x14ac:dyDescent="0.25">
      <c r="A189" t="s">
        <v>251</v>
      </c>
      <c r="B189" t="s">
        <v>29</v>
      </c>
      <c r="C189" s="2">
        <f>HYPERLINK("https://cao.dolgi.msk.ru/account/1050571412/", 1050571412)</f>
        <v>1050571412</v>
      </c>
      <c r="D189" s="4">
        <v>5977.51</v>
      </c>
      <c r="E189">
        <v>1.02</v>
      </c>
    </row>
    <row r="190" spans="1:5" x14ac:dyDescent="0.25">
      <c r="A190" t="s">
        <v>251</v>
      </c>
      <c r="B190" t="s">
        <v>34</v>
      </c>
      <c r="C190" s="2">
        <f>HYPERLINK("https://cao.dolgi.msk.ru/account/1050571631/", 1050571631)</f>
        <v>1050571631</v>
      </c>
      <c r="D190" s="4">
        <v>336026.6</v>
      </c>
      <c r="E190">
        <v>27.46</v>
      </c>
    </row>
    <row r="191" spans="1:5" x14ac:dyDescent="0.25">
      <c r="A191" t="s">
        <v>252</v>
      </c>
      <c r="B191" t="s">
        <v>8</v>
      </c>
      <c r="C191" s="2">
        <f>HYPERLINK("https://cao.dolgi.msk.ru/account/1050590533/", 1050590533)</f>
        <v>1050590533</v>
      </c>
      <c r="D191" s="4">
        <v>7116.4</v>
      </c>
      <c r="E191">
        <v>1.04</v>
      </c>
    </row>
    <row r="192" spans="1:5" x14ac:dyDescent="0.25">
      <c r="A192" t="s">
        <v>252</v>
      </c>
      <c r="B192" t="s">
        <v>14</v>
      </c>
      <c r="C192" s="2">
        <f>HYPERLINK("https://cao.dolgi.msk.ru/account/1050590728/", 1050590728)</f>
        <v>1050590728</v>
      </c>
      <c r="D192" s="4">
        <v>70186.73</v>
      </c>
      <c r="E192">
        <v>12.94</v>
      </c>
    </row>
    <row r="193" spans="1:5" x14ac:dyDescent="0.25">
      <c r="A193" t="s">
        <v>252</v>
      </c>
      <c r="B193" t="s">
        <v>34</v>
      </c>
      <c r="C193" s="2">
        <f>HYPERLINK("https://cao.dolgi.msk.ru/account/1050591325/", 1050591325)</f>
        <v>1050591325</v>
      </c>
      <c r="D193" s="4">
        <v>18635.43</v>
      </c>
      <c r="E193">
        <v>2.0099999999999998</v>
      </c>
    </row>
    <row r="194" spans="1:5" x14ac:dyDescent="0.25">
      <c r="A194" t="s">
        <v>252</v>
      </c>
      <c r="B194" t="s">
        <v>50</v>
      </c>
      <c r="C194" s="2">
        <f>HYPERLINK("https://cao.dolgi.msk.ru/account/1050591595/", 1050591595)</f>
        <v>1050591595</v>
      </c>
      <c r="D194" s="4">
        <v>17704.46</v>
      </c>
      <c r="E194">
        <v>2</v>
      </c>
    </row>
    <row r="195" spans="1:5" x14ac:dyDescent="0.25">
      <c r="A195" t="s">
        <v>252</v>
      </c>
      <c r="B195" t="s">
        <v>52</v>
      </c>
      <c r="C195" s="2">
        <f>HYPERLINK("https://cao.dolgi.msk.ru/account/1050591632/", 1050591632)</f>
        <v>1050591632</v>
      </c>
      <c r="D195" s="4">
        <v>25261.05</v>
      </c>
      <c r="E195">
        <v>3.56</v>
      </c>
    </row>
    <row r="196" spans="1:5" x14ac:dyDescent="0.25">
      <c r="A196" t="s">
        <v>252</v>
      </c>
      <c r="B196" t="s">
        <v>53</v>
      </c>
      <c r="C196" s="2">
        <f>HYPERLINK("https://cao.dolgi.msk.ru/account/1050591659/", 1050591659)</f>
        <v>1050591659</v>
      </c>
      <c r="D196" s="4">
        <v>26445.919999999998</v>
      </c>
      <c r="E196">
        <v>3</v>
      </c>
    </row>
    <row r="197" spans="1:5" x14ac:dyDescent="0.25">
      <c r="A197" t="s">
        <v>252</v>
      </c>
      <c r="B197" t="s">
        <v>59</v>
      </c>
      <c r="C197" s="2">
        <f>HYPERLINK("https://cao.dolgi.msk.ru/account/1050591747/", 1050591747)</f>
        <v>1050591747</v>
      </c>
      <c r="D197" s="4">
        <v>62124.58</v>
      </c>
      <c r="E197">
        <v>10.95</v>
      </c>
    </row>
    <row r="198" spans="1:5" x14ac:dyDescent="0.25">
      <c r="A198" t="s">
        <v>252</v>
      </c>
      <c r="B198" t="s">
        <v>66</v>
      </c>
      <c r="C198" s="2">
        <f>HYPERLINK("https://cao.dolgi.msk.ru/account/1050591835/", 1050591835)</f>
        <v>1050591835</v>
      </c>
      <c r="D198" s="4">
        <v>5704.74</v>
      </c>
      <c r="E198">
        <v>1.02</v>
      </c>
    </row>
    <row r="199" spans="1:5" x14ac:dyDescent="0.25">
      <c r="A199" t="s">
        <v>252</v>
      </c>
      <c r="B199" t="s">
        <v>69</v>
      </c>
      <c r="C199" s="2">
        <f>HYPERLINK("https://cao.dolgi.msk.ru/account/1050591886/", 1050591886)</f>
        <v>1050591886</v>
      </c>
      <c r="D199" s="4">
        <v>29364</v>
      </c>
      <c r="E199">
        <v>3.98</v>
      </c>
    </row>
    <row r="200" spans="1:5" x14ac:dyDescent="0.25">
      <c r="A200" t="s">
        <v>252</v>
      </c>
      <c r="B200" t="s">
        <v>71</v>
      </c>
      <c r="C200" s="2">
        <f>HYPERLINK("https://cao.dolgi.msk.ru/account/1050591907/", 1050591907)</f>
        <v>1050591907</v>
      </c>
      <c r="D200" s="4">
        <v>19512.580000000002</v>
      </c>
      <c r="E200">
        <v>3.05</v>
      </c>
    </row>
    <row r="201" spans="1:5" x14ac:dyDescent="0.25">
      <c r="A201" t="s">
        <v>252</v>
      </c>
      <c r="B201" t="s">
        <v>83</v>
      </c>
      <c r="C201" s="2">
        <f>HYPERLINK("https://cao.dolgi.msk.ru/account/1050592053/", 1050592053)</f>
        <v>1050592053</v>
      </c>
      <c r="D201" s="4">
        <v>19115.48</v>
      </c>
      <c r="E201">
        <v>2.36</v>
      </c>
    </row>
    <row r="202" spans="1:5" x14ac:dyDescent="0.25">
      <c r="A202" t="s">
        <v>253</v>
      </c>
      <c r="B202" t="s">
        <v>27</v>
      </c>
      <c r="C202" s="2">
        <f>HYPERLINK("https://cao.dolgi.msk.ru/account/1050586884/", 1050586884)</f>
        <v>1050586884</v>
      </c>
      <c r="D202" s="4">
        <v>18723.080000000002</v>
      </c>
      <c r="E202">
        <v>2.5</v>
      </c>
    </row>
    <row r="203" spans="1:5" x14ac:dyDescent="0.25">
      <c r="A203" t="s">
        <v>254</v>
      </c>
      <c r="B203" t="s">
        <v>11</v>
      </c>
      <c r="C203" s="2">
        <f>HYPERLINK("https://cao.dolgi.msk.ru/account/1058009571/", 1058009571)</f>
        <v>1058009571</v>
      </c>
      <c r="D203" s="4">
        <v>40345.279999999999</v>
      </c>
      <c r="E203">
        <v>2.2200000000000002</v>
      </c>
    </row>
    <row r="204" spans="1:5" x14ac:dyDescent="0.25">
      <c r="A204" t="s">
        <v>255</v>
      </c>
      <c r="B204" t="s">
        <v>10</v>
      </c>
      <c r="C204" s="2">
        <f>HYPERLINK("https://cao.dolgi.msk.ru/account/1050575288/", 1050575288)</f>
        <v>1050575288</v>
      </c>
      <c r="D204" s="4">
        <v>26801.55</v>
      </c>
      <c r="E204">
        <v>2.09</v>
      </c>
    </row>
    <row r="205" spans="1:5" x14ac:dyDescent="0.25">
      <c r="A205" t="s">
        <v>255</v>
      </c>
      <c r="B205" t="s">
        <v>93</v>
      </c>
      <c r="C205" s="2">
        <f>HYPERLINK("https://cao.dolgi.msk.ru/account/1050575405/", 1050575405)</f>
        <v>1050575405</v>
      </c>
      <c r="D205" s="4">
        <v>32094.43</v>
      </c>
      <c r="E205">
        <v>3.12</v>
      </c>
    </row>
    <row r="206" spans="1:5" x14ac:dyDescent="0.25">
      <c r="A206" t="s">
        <v>255</v>
      </c>
      <c r="B206" t="s">
        <v>23</v>
      </c>
      <c r="C206" s="2">
        <f>HYPERLINK("https://cao.dolgi.msk.ru/account/1058147026/", 1058147026)</f>
        <v>1058147026</v>
      </c>
      <c r="D206" s="4">
        <v>41101.11</v>
      </c>
      <c r="E206">
        <v>3.98</v>
      </c>
    </row>
    <row r="207" spans="1:5" x14ac:dyDescent="0.25">
      <c r="A207" t="s">
        <v>256</v>
      </c>
      <c r="B207" t="s">
        <v>9</v>
      </c>
      <c r="C207" s="2">
        <f>HYPERLINK("https://cao.dolgi.msk.ru/account/1058124991/", 1058124991)</f>
        <v>1058124991</v>
      </c>
      <c r="D207" s="4">
        <v>20947.38</v>
      </c>
      <c r="E207">
        <v>1.67</v>
      </c>
    </row>
    <row r="208" spans="1:5" x14ac:dyDescent="0.25">
      <c r="A208" t="s">
        <v>256</v>
      </c>
      <c r="B208" t="s">
        <v>38</v>
      </c>
      <c r="C208" s="2">
        <f>HYPERLINK("https://cao.dolgi.msk.ru/account/1050579772/", 1050579772)</f>
        <v>1050579772</v>
      </c>
      <c r="D208" s="4">
        <v>6706.11</v>
      </c>
      <c r="E208">
        <v>1.03</v>
      </c>
    </row>
    <row r="209" spans="1:5" x14ac:dyDescent="0.25">
      <c r="A209" t="s">
        <v>256</v>
      </c>
      <c r="B209" t="s">
        <v>43</v>
      </c>
      <c r="C209" s="2">
        <f>HYPERLINK("https://cao.dolgi.msk.ru/account/1050580239/", 1050580239)</f>
        <v>1050580239</v>
      </c>
      <c r="D209" s="4">
        <v>605768.84</v>
      </c>
      <c r="E209">
        <v>70.36</v>
      </c>
    </row>
    <row r="210" spans="1:5" x14ac:dyDescent="0.25">
      <c r="A210" t="s">
        <v>257</v>
      </c>
      <c r="B210" t="s">
        <v>7</v>
      </c>
      <c r="C210" s="2">
        <f>HYPERLINK("https://cao.dolgi.msk.ru/account/1058009053/", 1058009053)</f>
        <v>1058009053</v>
      </c>
      <c r="D210" s="4">
        <v>33328.75</v>
      </c>
      <c r="E210">
        <v>2</v>
      </c>
    </row>
    <row r="211" spans="1:5" x14ac:dyDescent="0.25">
      <c r="A211" t="s">
        <v>257</v>
      </c>
      <c r="B211" t="s">
        <v>9</v>
      </c>
      <c r="C211" s="2">
        <f>HYPERLINK("https://cao.dolgi.msk.ru/account/1058009096/", 1058009096)</f>
        <v>1058009096</v>
      </c>
      <c r="D211" s="4">
        <v>44009.24</v>
      </c>
      <c r="E211">
        <v>2</v>
      </c>
    </row>
    <row r="212" spans="1:5" x14ac:dyDescent="0.25">
      <c r="A212" t="s">
        <v>257</v>
      </c>
      <c r="B212" t="s">
        <v>11</v>
      </c>
      <c r="C212" s="2">
        <f>HYPERLINK("https://cao.dolgi.msk.ru/account/1058009045/", 1058009045)</f>
        <v>1058009045</v>
      </c>
      <c r="D212" s="4">
        <v>73275.100000000006</v>
      </c>
      <c r="E212">
        <v>3.41</v>
      </c>
    </row>
    <row r="213" spans="1:5" x14ac:dyDescent="0.25">
      <c r="A213" t="s">
        <v>258</v>
      </c>
      <c r="B213" t="s">
        <v>27</v>
      </c>
      <c r="C213" s="2">
        <f>HYPERLINK("https://cao.dolgi.msk.ru/account/1050536262/", 1050536262)</f>
        <v>1050536262</v>
      </c>
      <c r="D213" s="4">
        <v>18642.62</v>
      </c>
      <c r="E213">
        <v>1.94</v>
      </c>
    </row>
    <row r="214" spans="1:5" x14ac:dyDescent="0.25">
      <c r="A214" t="s">
        <v>258</v>
      </c>
      <c r="B214" t="s">
        <v>35</v>
      </c>
      <c r="C214" s="2">
        <f>HYPERLINK("https://cao.dolgi.msk.ru/account/1050536449/", 1050536449)</f>
        <v>1050536449</v>
      </c>
      <c r="D214" s="4">
        <v>17833.099999999999</v>
      </c>
      <c r="E214">
        <v>2</v>
      </c>
    </row>
    <row r="215" spans="1:5" x14ac:dyDescent="0.25">
      <c r="A215" t="s">
        <v>258</v>
      </c>
      <c r="B215" t="s">
        <v>38</v>
      </c>
      <c r="C215" s="2">
        <f>HYPERLINK("https://cao.dolgi.msk.ru/account/1050536529/", 1050536529)</f>
        <v>1050536529</v>
      </c>
      <c r="D215" s="4">
        <v>93101.77</v>
      </c>
      <c r="E215">
        <v>11.23</v>
      </c>
    </row>
    <row r="216" spans="1:5" x14ac:dyDescent="0.25">
      <c r="A216" t="s">
        <v>258</v>
      </c>
      <c r="B216" t="s">
        <v>44</v>
      </c>
      <c r="C216" s="2">
        <f>HYPERLINK("https://cao.dolgi.msk.ru/account/1050536596/", 1050536596)</f>
        <v>1050536596</v>
      </c>
      <c r="D216" s="4">
        <v>13292.11</v>
      </c>
      <c r="E216">
        <v>1.96</v>
      </c>
    </row>
    <row r="217" spans="1:5" x14ac:dyDescent="0.25">
      <c r="A217" t="s">
        <v>258</v>
      </c>
      <c r="B217" t="s">
        <v>94</v>
      </c>
      <c r="C217" s="2">
        <f>HYPERLINK("https://cao.dolgi.msk.ru/account/1050536764/", 1050536764)</f>
        <v>1050536764</v>
      </c>
      <c r="D217" s="4">
        <v>18421.52</v>
      </c>
      <c r="E217">
        <v>2</v>
      </c>
    </row>
    <row r="218" spans="1:5" x14ac:dyDescent="0.25">
      <c r="A218" t="s">
        <v>258</v>
      </c>
      <c r="B218" t="s">
        <v>48</v>
      </c>
      <c r="C218" s="2">
        <f>HYPERLINK("https://cao.dolgi.msk.ru/account/1050536828/", 1050536828)</f>
        <v>1050536828</v>
      </c>
      <c r="D218" s="4">
        <v>30685.61</v>
      </c>
      <c r="E218">
        <v>2.94</v>
      </c>
    </row>
    <row r="219" spans="1:5" x14ac:dyDescent="0.25">
      <c r="A219" t="s">
        <v>259</v>
      </c>
      <c r="B219" t="s">
        <v>10</v>
      </c>
      <c r="C219" s="2">
        <f>HYPERLINK("https://cao.dolgi.msk.ru/account/1050541205/", 1050541205)</f>
        <v>1050541205</v>
      </c>
      <c r="D219" s="4">
        <v>9360.01</v>
      </c>
      <c r="E219">
        <v>1.69</v>
      </c>
    </row>
    <row r="220" spans="1:5" x14ac:dyDescent="0.25">
      <c r="A220" t="s">
        <v>259</v>
      </c>
      <c r="B220" t="s">
        <v>21</v>
      </c>
      <c r="C220" s="2">
        <f>HYPERLINK("https://cao.dolgi.msk.ru/account/1050541184/", 1050541184)</f>
        <v>1050541184</v>
      </c>
      <c r="D220" s="4">
        <v>33654.07</v>
      </c>
      <c r="E220">
        <v>2</v>
      </c>
    </row>
    <row r="221" spans="1:5" x14ac:dyDescent="0.25">
      <c r="A221" t="s">
        <v>260</v>
      </c>
      <c r="B221" t="s">
        <v>33</v>
      </c>
      <c r="C221" s="2">
        <f>HYPERLINK("https://cao.dolgi.msk.ru/account/1058122654/", 1058122654)</f>
        <v>1058122654</v>
      </c>
      <c r="D221" s="4">
        <v>34224.730000000003</v>
      </c>
      <c r="E221">
        <v>5.01</v>
      </c>
    </row>
    <row r="222" spans="1:5" x14ac:dyDescent="0.25">
      <c r="A222" t="s">
        <v>261</v>
      </c>
      <c r="B222" t="s">
        <v>6</v>
      </c>
      <c r="C222" s="2">
        <f>HYPERLINK("https://cao.dolgi.msk.ru/account/1050538655/", 1050538655)</f>
        <v>1050538655</v>
      </c>
      <c r="D222" s="4">
        <v>17766.04</v>
      </c>
      <c r="E222">
        <v>1.07</v>
      </c>
    </row>
    <row r="223" spans="1:5" x14ac:dyDescent="0.25">
      <c r="A223" t="s">
        <v>262</v>
      </c>
      <c r="B223" t="s">
        <v>12</v>
      </c>
      <c r="C223" s="2">
        <f>HYPERLINK("https://cao.dolgi.msk.ru/account/1050537708/", 1050537708)</f>
        <v>1050537708</v>
      </c>
      <c r="D223" s="4">
        <v>30741.56</v>
      </c>
      <c r="E223">
        <v>3.4</v>
      </c>
    </row>
    <row r="224" spans="1:5" x14ac:dyDescent="0.25">
      <c r="A224" t="s">
        <v>263</v>
      </c>
      <c r="B224" t="s">
        <v>33</v>
      </c>
      <c r="C224" s="2">
        <f>HYPERLINK("https://cao.dolgi.msk.ru/account/1050538532/", 1050538532)</f>
        <v>1050538532</v>
      </c>
      <c r="D224" s="4">
        <v>27682.75</v>
      </c>
      <c r="E224">
        <v>2</v>
      </c>
    </row>
    <row r="225" spans="1:5" x14ac:dyDescent="0.25">
      <c r="A225" t="s">
        <v>264</v>
      </c>
      <c r="B225" t="s">
        <v>47</v>
      </c>
      <c r="C225" s="2">
        <f>HYPERLINK("https://cao.dolgi.msk.ru/account/1050552297/", 1050552297)</f>
        <v>1050552297</v>
      </c>
      <c r="D225" s="4">
        <v>12134.97</v>
      </c>
      <c r="E225">
        <v>1.01</v>
      </c>
    </row>
    <row r="226" spans="1:5" x14ac:dyDescent="0.25">
      <c r="A226" t="s">
        <v>265</v>
      </c>
      <c r="B226" t="s">
        <v>93</v>
      </c>
      <c r="C226" s="2">
        <f>HYPERLINK("https://cao.dolgi.msk.ru/account/1058136917/", 1058136917)</f>
        <v>1058136917</v>
      </c>
      <c r="D226" s="4">
        <v>34669</v>
      </c>
      <c r="E226">
        <v>2</v>
      </c>
    </row>
    <row r="227" spans="1:5" x14ac:dyDescent="0.25">
      <c r="A227" t="s">
        <v>265</v>
      </c>
      <c r="B227" t="s">
        <v>27</v>
      </c>
      <c r="C227" s="2">
        <f>HYPERLINK("https://cao.dolgi.msk.ru/account/1050551921/", 1050551921)</f>
        <v>1050551921</v>
      </c>
      <c r="D227" s="4">
        <v>52407.26</v>
      </c>
      <c r="E227">
        <v>2</v>
      </c>
    </row>
    <row r="228" spans="1:5" x14ac:dyDescent="0.25">
      <c r="A228" t="s">
        <v>266</v>
      </c>
      <c r="B228" t="s">
        <v>29</v>
      </c>
      <c r="C228" s="2">
        <f>HYPERLINK("https://cao.dolgi.msk.ru/account/1050560537/", 1050560537)</f>
        <v>1050560537</v>
      </c>
      <c r="D228" s="4">
        <v>56382.07</v>
      </c>
      <c r="E228">
        <v>2.98</v>
      </c>
    </row>
    <row r="229" spans="1:5" x14ac:dyDescent="0.25">
      <c r="A229" t="s">
        <v>267</v>
      </c>
      <c r="B229" t="s">
        <v>18</v>
      </c>
      <c r="C229" s="2">
        <f>HYPERLINK("https://cao.dolgi.msk.ru/account/1050560932/", 1050560932)</f>
        <v>1050560932</v>
      </c>
      <c r="D229" s="4">
        <v>26901.11</v>
      </c>
      <c r="E229">
        <v>3.99</v>
      </c>
    </row>
    <row r="230" spans="1:5" x14ac:dyDescent="0.25">
      <c r="A230" t="s">
        <v>268</v>
      </c>
      <c r="B230" t="s">
        <v>24</v>
      </c>
      <c r="C230" s="2">
        <f>HYPERLINK("https://cao.dolgi.msk.ru/account/1050553505/", 1050553505)</f>
        <v>1050553505</v>
      </c>
      <c r="D230" s="4">
        <v>22999.53</v>
      </c>
      <c r="E230">
        <v>3.27</v>
      </c>
    </row>
    <row r="231" spans="1:5" x14ac:dyDescent="0.25">
      <c r="A231" t="s">
        <v>268</v>
      </c>
      <c r="B231" t="s">
        <v>269</v>
      </c>
      <c r="C231" s="2">
        <f>HYPERLINK("https://cao.dolgi.msk.ru/account/1058115972/", 1058115972)</f>
        <v>1058115972</v>
      </c>
      <c r="D231" s="4">
        <v>34423.199999999997</v>
      </c>
      <c r="E231">
        <v>3.89</v>
      </c>
    </row>
    <row r="232" spans="1:5" x14ac:dyDescent="0.25">
      <c r="A232" t="s">
        <v>270</v>
      </c>
      <c r="B232" t="s">
        <v>9</v>
      </c>
      <c r="C232" s="2">
        <f>HYPERLINK("https://cao.dolgi.msk.ru/account/1050541707/", 1050541707)</f>
        <v>1050541707</v>
      </c>
      <c r="D232" s="4">
        <v>35463.879999999997</v>
      </c>
      <c r="E232">
        <v>2.87</v>
      </c>
    </row>
    <row r="233" spans="1:5" x14ac:dyDescent="0.25">
      <c r="A233" t="s">
        <v>270</v>
      </c>
      <c r="B233" t="s">
        <v>14</v>
      </c>
      <c r="C233" s="2">
        <f>HYPERLINK("https://cao.dolgi.msk.ru/account/1050541918/", 1050541918)</f>
        <v>1050541918</v>
      </c>
      <c r="D233" s="4">
        <v>79069.42</v>
      </c>
      <c r="E233">
        <v>3.94</v>
      </c>
    </row>
    <row r="234" spans="1:5" x14ac:dyDescent="0.25">
      <c r="A234" t="s">
        <v>271</v>
      </c>
      <c r="B234" t="s">
        <v>19</v>
      </c>
      <c r="C234" s="2">
        <f>HYPERLINK("https://cao.dolgi.msk.ru/account/1050535956/", 1050535956)</f>
        <v>1050535956</v>
      </c>
      <c r="D234" s="4">
        <v>64665.9</v>
      </c>
      <c r="E234">
        <v>3.96</v>
      </c>
    </row>
    <row r="235" spans="1:5" x14ac:dyDescent="0.25">
      <c r="A235" t="s">
        <v>271</v>
      </c>
      <c r="B235" t="s">
        <v>26</v>
      </c>
      <c r="C235" s="2">
        <f>HYPERLINK("https://cao.dolgi.msk.ru/account/1050536166/", 1050536166)</f>
        <v>1050536166</v>
      </c>
      <c r="D235" s="4">
        <v>93184.91</v>
      </c>
      <c r="E235">
        <v>2.37</v>
      </c>
    </row>
    <row r="236" spans="1:5" x14ac:dyDescent="0.25">
      <c r="A236" t="s">
        <v>272</v>
      </c>
      <c r="B236" t="s">
        <v>6</v>
      </c>
      <c r="C236" s="2">
        <f>HYPERLINK("https://cao.dolgi.msk.ru/account/1050569232/", 1050569232)</f>
        <v>1050569232</v>
      </c>
      <c r="D236" s="4">
        <v>31268.48</v>
      </c>
      <c r="E236">
        <v>2.96</v>
      </c>
    </row>
    <row r="237" spans="1:5" x14ac:dyDescent="0.25">
      <c r="A237" t="s">
        <v>273</v>
      </c>
      <c r="B237" t="s">
        <v>80</v>
      </c>
      <c r="C237" s="2">
        <f>HYPERLINK("https://cao.dolgi.msk.ru/account/1058199336/", 1058199336)</f>
        <v>1058199336</v>
      </c>
      <c r="D237" s="4">
        <v>16094.77</v>
      </c>
      <c r="E237">
        <v>1.92</v>
      </c>
    </row>
    <row r="238" spans="1:5" x14ac:dyDescent="0.25">
      <c r="A238" t="s">
        <v>273</v>
      </c>
      <c r="B238" t="s">
        <v>82</v>
      </c>
      <c r="C238" s="2">
        <f>HYPERLINK("https://cao.dolgi.msk.ru/account/1058199352/", 1058199352)</f>
        <v>1058199352</v>
      </c>
      <c r="D238" s="4">
        <v>11386.26</v>
      </c>
      <c r="E238">
        <v>1.21</v>
      </c>
    </row>
    <row r="239" spans="1:5" x14ac:dyDescent="0.25">
      <c r="A239" t="s">
        <v>273</v>
      </c>
      <c r="B239" t="s">
        <v>84</v>
      </c>
      <c r="C239" s="2">
        <f>HYPERLINK("https://cao.dolgi.msk.ru/account/1058199408/", 1058199408)</f>
        <v>1058199408</v>
      </c>
      <c r="D239" s="4">
        <v>16159.91</v>
      </c>
      <c r="E239">
        <v>1.92</v>
      </c>
    </row>
    <row r="240" spans="1:5" x14ac:dyDescent="0.25">
      <c r="A240" t="s">
        <v>273</v>
      </c>
      <c r="B240" t="s">
        <v>88</v>
      </c>
      <c r="C240" s="2">
        <f>HYPERLINK("https://cao.dolgi.msk.ru/account/1058199467/", 1058199467)</f>
        <v>1058199467</v>
      </c>
      <c r="D240" s="4">
        <v>16358.81</v>
      </c>
      <c r="E240">
        <v>1.92</v>
      </c>
    </row>
    <row r="241" spans="1:5" x14ac:dyDescent="0.25">
      <c r="A241" t="s">
        <v>273</v>
      </c>
      <c r="B241" t="s">
        <v>89</v>
      </c>
      <c r="C241" s="2">
        <f>HYPERLINK("https://cao.dolgi.msk.ru/account/1058199475/", 1058199475)</f>
        <v>1058199475</v>
      </c>
      <c r="D241" s="4">
        <v>16387.830000000002</v>
      </c>
      <c r="E241">
        <v>1.92</v>
      </c>
    </row>
    <row r="242" spans="1:5" x14ac:dyDescent="0.25">
      <c r="A242" t="s">
        <v>273</v>
      </c>
      <c r="B242" t="s">
        <v>91</v>
      </c>
      <c r="C242" s="2">
        <f>HYPERLINK("https://cao.dolgi.msk.ru/account/1058199504/", 1058199504)</f>
        <v>1058199504</v>
      </c>
      <c r="D242" s="4">
        <v>21671.34</v>
      </c>
      <c r="E242">
        <v>1.82</v>
      </c>
    </row>
    <row r="243" spans="1:5" x14ac:dyDescent="0.25">
      <c r="A243" t="s">
        <v>273</v>
      </c>
      <c r="B243" t="s">
        <v>96</v>
      </c>
      <c r="C243" s="2">
        <f>HYPERLINK("https://cao.dolgi.msk.ru/account/1058199512/", 1058199512)</f>
        <v>1058199512</v>
      </c>
      <c r="D243" s="4">
        <v>19540.93</v>
      </c>
      <c r="E243">
        <v>1.75</v>
      </c>
    </row>
    <row r="244" spans="1:5" x14ac:dyDescent="0.25">
      <c r="A244" t="s">
        <v>273</v>
      </c>
      <c r="B244" t="s">
        <v>99</v>
      </c>
      <c r="C244" s="2">
        <f>HYPERLINK("https://cao.dolgi.msk.ru/account/1058199686/", 1058199686)</f>
        <v>1058199686</v>
      </c>
      <c r="D244" s="4">
        <v>37827.01</v>
      </c>
      <c r="E244">
        <v>1.93</v>
      </c>
    </row>
    <row r="245" spans="1:5" x14ac:dyDescent="0.25">
      <c r="A245" t="s">
        <v>273</v>
      </c>
      <c r="B245" t="s">
        <v>102</v>
      </c>
      <c r="C245" s="2">
        <f>HYPERLINK("https://cao.dolgi.msk.ru/account/1058199731/", 1058199731)</f>
        <v>1058199731</v>
      </c>
      <c r="D245" s="4">
        <v>18860.66</v>
      </c>
      <c r="E245">
        <v>2</v>
      </c>
    </row>
    <row r="246" spans="1:5" x14ac:dyDescent="0.25">
      <c r="A246" t="s">
        <v>274</v>
      </c>
      <c r="B246" t="s">
        <v>31</v>
      </c>
      <c r="C246" s="2">
        <f>HYPERLINK("https://cao.dolgi.msk.ru/account/1058182905/", 1058182905)</f>
        <v>1058182905</v>
      </c>
      <c r="D246" s="4">
        <v>29349.02</v>
      </c>
      <c r="E246">
        <v>2</v>
      </c>
    </row>
    <row r="247" spans="1:5" x14ac:dyDescent="0.25">
      <c r="A247" t="s">
        <v>275</v>
      </c>
      <c r="B247" t="s">
        <v>32</v>
      </c>
      <c r="C247" s="2">
        <f>HYPERLINK("https://cao.dolgi.msk.ru/account/1050294988/", 1050294988)</f>
        <v>1050294988</v>
      </c>
      <c r="D247" s="4">
        <v>38702.379999999997</v>
      </c>
      <c r="E247">
        <v>3</v>
      </c>
    </row>
    <row r="248" spans="1:5" x14ac:dyDescent="0.25">
      <c r="A248" t="s">
        <v>276</v>
      </c>
      <c r="B248" t="s">
        <v>8</v>
      </c>
      <c r="C248" s="2">
        <f>HYPERLINK("https://cao.dolgi.msk.ru/account/1050279374/", 1050279374)</f>
        <v>1050279374</v>
      </c>
      <c r="D248" s="4">
        <v>8966.98</v>
      </c>
      <c r="E248">
        <v>2</v>
      </c>
    </row>
    <row r="249" spans="1:5" x14ac:dyDescent="0.25">
      <c r="A249" t="s">
        <v>276</v>
      </c>
      <c r="B249" t="s">
        <v>56</v>
      </c>
      <c r="C249" s="2">
        <f>HYPERLINK("https://cao.dolgi.msk.ru/account/1050279999/", 1050279999)</f>
        <v>1050279999</v>
      </c>
      <c r="D249" s="4">
        <v>9666.75</v>
      </c>
      <c r="E249">
        <v>1.81</v>
      </c>
    </row>
    <row r="250" spans="1:5" x14ac:dyDescent="0.25">
      <c r="A250" t="s">
        <v>276</v>
      </c>
      <c r="B250" t="s">
        <v>67</v>
      </c>
      <c r="C250" s="2">
        <f>HYPERLINK("https://cao.dolgi.msk.ru/account/1050280113/", 1050280113)</f>
        <v>1050280113</v>
      </c>
      <c r="D250" s="4">
        <v>7237.95</v>
      </c>
      <c r="E250">
        <v>1.93</v>
      </c>
    </row>
    <row r="251" spans="1:5" x14ac:dyDescent="0.25">
      <c r="A251" t="s">
        <v>277</v>
      </c>
      <c r="B251" t="s">
        <v>43</v>
      </c>
      <c r="C251" s="2">
        <f>HYPERLINK("https://cao.dolgi.msk.ru/account/1050289855/", 1050289855)</f>
        <v>1050289855</v>
      </c>
      <c r="D251" s="4">
        <v>53693.38</v>
      </c>
      <c r="E251">
        <v>4.59</v>
      </c>
    </row>
    <row r="252" spans="1:5" x14ac:dyDescent="0.25">
      <c r="A252" t="s">
        <v>277</v>
      </c>
      <c r="B252" t="s">
        <v>55</v>
      </c>
      <c r="C252" s="2">
        <f>HYPERLINK("https://cao.dolgi.msk.ru/account/1050290194/", 1050290194)</f>
        <v>1050290194</v>
      </c>
      <c r="D252" s="4">
        <v>11300.78</v>
      </c>
      <c r="E252">
        <v>2.2400000000000002</v>
      </c>
    </row>
    <row r="253" spans="1:5" x14ac:dyDescent="0.25">
      <c r="A253" t="s">
        <v>277</v>
      </c>
      <c r="B253" t="s">
        <v>56</v>
      </c>
      <c r="C253" s="2">
        <f>HYPERLINK("https://cao.dolgi.msk.ru/account/1058023883/", 1058023883)</f>
        <v>1058023883</v>
      </c>
      <c r="D253" s="4">
        <v>6813.81</v>
      </c>
      <c r="E253">
        <v>1.29</v>
      </c>
    </row>
    <row r="254" spans="1:5" x14ac:dyDescent="0.25">
      <c r="A254" t="s">
        <v>277</v>
      </c>
      <c r="B254" t="s">
        <v>60</v>
      </c>
      <c r="C254" s="2">
        <f>HYPERLINK("https://cao.dolgi.msk.ru/account/1050290311/", 1050290311)</f>
        <v>1050290311</v>
      </c>
      <c r="D254" s="4">
        <v>6107.99</v>
      </c>
      <c r="E254">
        <v>1.26</v>
      </c>
    </row>
    <row r="255" spans="1:5" x14ac:dyDescent="0.25">
      <c r="A255" t="s">
        <v>277</v>
      </c>
      <c r="B255" t="s">
        <v>65</v>
      </c>
      <c r="C255" s="2">
        <f>HYPERLINK("https://cao.dolgi.msk.ru/account/1050290477/", 1050290477)</f>
        <v>1050290477</v>
      </c>
      <c r="D255" s="4">
        <v>115997.13</v>
      </c>
      <c r="E255">
        <v>25.7</v>
      </c>
    </row>
    <row r="256" spans="1:5" x14ac:dyDescent="0.25">
      <c r="A256" t="s">
        <v>277</v>
      </c>
      <c r="B256" t="s">
        <v>67</v>
      </c>
      <c r="C256" s="2">
        <f>HYPERLINK("https://cao.dolgi.msk.ru/account/1050290514/", 1050290514)</f>
        <v>1050290514</v>
      </c>
      <c r="D256" s="4">
        <v>8828.2199999999993</v>
      </c>
      <c r="E256">
        <v>1.33</v>
      </c>
    </row>
    <row r="257" spans="1:5" x14ac:dyDescent="0.25">
      <c r="A257" t="s">
        <v>277</v>
      </c>
      <c r="B257" t="s">
        <v>73</v>
      </c>
      <c r="C257" s="2">
        <f>HYPERLINK("https://cao.dolgi.msk.ru/account/1050290653/", 1050290653)</f>
        <v>1050290653</v>
      </c>
      <c r="D257" s="4">
        <v>6295.53</v>
      </c>
      <c r="E257">
        <v>1.31</v>
      </c>
    </row>
    <row r="258" spans="1:5" x14ac:dyDescent="0.25">
      <c r="A258" t="s">
        <v>277</v>
      </c>
      <c r="B258" t="s">
        <v>74</v>
      </c>
      <c r="C258" s="2">
        <f>HYPERLINK("https://cao.dolgi.msk.ru/account/1050290688/", 1050290688)</f>
        <v>1050290688</v>
      </c>
      <c r="D258" s="4">
        <v>34119.83</v>
      </c>
      <c r="E258">
        <v>5.48</v>
      </c>
    </row>
    <row r="259" spans="1:5" x14ac:dyDescent="0.25">
      <c r="A259" t="s">
        <v>277</v>
      </c>
      <c r="B259" t="s">
        <v>77</v>
      </c>
      <c r="C259" s="2">
        <f>HYPERLINK("https://cao.dolgi.msk.ru/account/1050290768/", 1050290768)</f>
        <v>1050290768</v>
      </c>
      <c r="D259" s="4">
        <v>60093.599999999999</v>
      </c>
      <c r="E259">
        <v>9.1199999999999992</v>
      </c>
    </row>
    <row r="260" spans="1:5" x14ac:dyDescent="0.25">
      <c r="A260" t="s">
        <v>277</v>
      </c>
      <c r="B260" t="s">
        <v>84</v>
      </c>
      <c r="C260" s="2">
        <f>HYPERLINK("https://cao.dolgi.msk.ru/account/1050290952/", 1050290952)</f>
        <v>1050290952</v>
      </c>
      <c r="D260" s="4">
        <v>9250.5300000000007</v>
      </c>
      <c r="E260">
        <v>1.19</v>
      </c>
    </row>
    <row r="261" spans="1:5" x14ac:dyDescent="0.25">
      <c r="A261" t="s">
        <v>277</v>
      </c>
      <c r="B261" t="s">
        <v>85</v>
      </c>
      <c r="C261" s="2">
        <f>HYPERLINK("https://cao.dolgi.msk.ru/account/1050290995/", 1050290995)</f>
        <v>1050290995</v>
      </c>
      <c r="D261" s="4">
        <v>15113.03</v>
      </c>
      <c r="E261">
        <v>1.95</v>
      </c>
    </row>
    <row r="262" spans="1:5" x14ac:dyDescent="0.25">
      <c r="A262" t="s">
        <v>277</v>
      </c>
      <c r="B262" t="s">
        <v>87</v>
      </c>
      <c r="C262" s="2">
        <f>HYPERLINK("https://cao.dolgi.msk.ru/account/1050291066/", 1050291066)</f>
        <v>1050291066</v>
      </c>
      <c r="D262" s="4">
        <v>9546.51</v>
      </c>
      <c r="E262">
        <v>1.31</v>
      </c>
    </row>
    <row r="263" spans="1:5" x14ac:dyDescent="0.25">
      <c r="A263" t="s">
        <v>277</v>
      </c>
      <c r="B263" t="s">
        <v>100</v>
      </c>
      <c r="C263" s="2">
        <f>HYPERLINK("https://cao.dolgi.msk.ru/account/1050291357/", 1050291357)</f>
        <v>1050291357</v>
      </c>
      <c r="D263" s="4">
        <v>68880.78</v>
      </c>
      <c r="E263">
        <v>9.57</v>
      </c>
    </row>
    <row r="264" spans="1:5" x14ac:dyDescent="0.25">
      <c r="A264" t="s">
        <v>277</v>
      </c>
      <c r="B264" t="s">
        <v>112</v>
      </c>
      <c r="C264" s="2">
        <f>HYPERLINK("https://cao.dolgi.msk.ru/account/1058160319/", 1058160319)</f>
        <v>1058160319</v>
      </c>
      <c r="D264" s="4">
        <v>13844.84</v>
      </c>
      <c r="E264">
        <v>2.16</v>
      </c>
    </row>
    <row r="265" spans="1:5" x14ac:dyDescent="0.25">
      <c r="A265" t="s">
        <v>277</v>
      </c>
      <c r="B265" t="s">
        <v>137</v>
      </c>
      <c r="C265" s="2">
        <f>HYPERLINK("https://cao.dolgi.msk.ru/account/1050292018/", 1050292018)</f>
        <v>1050292018</v>
      </c>
      <c r="D265" s="4">
        <v>92483.41</v>
      </c>
      <c r="E265">
        <v>14.84</v>
      </c>
    </row>
    <row r="266" spans="1:5" x14ac:dyDescent="0.25">
      <c r="A266" t="s">
        <v>277</v>
      </c>
      <c r="B266" t="s">
        <v>127</v>
      </c>
      <c r="C266" s="2">
        <f>HYPERLINK("https://cao.dolgi.msk.ru/account/1050292253/", 1050292253)</f>
        <v>1050292253</v>
      </c>
      <c r="D266" s="4">
        <v>12138.92</v>
      </c>
      <c r="E266">
        <v>2</v>
      </c>
    </row>
    <row r="267" spans="1:5" x14ac:dyDescent="0.25">
      <c r="A267" t="s">
        <v>277</v>
      </c>
      <c r="B267" t="s">
        <v>154</v>
      </c>
      <c r="C267" s="2">
        <f>HYPERLINK("https://cao.dolgi.msk.ru/account/1050292712/", 1050292712)</f>
        <v>1050292712</v>
      </c>
      <c r="D267" s="4">
        <v>6251.32</v>
      </c>
      <c r="E267">
        <v>1.31</v>
      </c>
    </row>
    <row r="268" spans="1:5" x14ac:dyDescent="0.25">
      <c r="A268" t="s">
        <v>277</v>
      </c>
      <c r="B268" t="s">
        <v>161</v>
      </c>
      <c r="C268" s="2">
        <f>HYPERLINK("https://cao.dolgi.msk.ru/account/1050292843/", 1050292843)</f>
        <v>1050292843</v>
      </c>
      <c r="D268" s="4">
        <v>12273.42</v>
      </c>
      <c r="E268">
        <v>2.35</v>
      </c>
    </row>
    <row r="269" spans="1:5" x14ac:dyDescent="0.25">
      <c r="A269" t="s">
        <v>277</v>
      </c>
      <c r="B269" t="s">
        <v>167</v>
      </c>
      <c r="C269" s="2">
        <f>HYPERLINK("https://cao.dolgi.msk.ru/account/1050292974/", 1050292974)</f>
        <v>1050292974</v>
      </c>
      <c r="D269" s="4">
        <v>18390.509999999998</v>
      </c>
      <c r="E269">
        <v>2.42</v>
      </c>
    </row>
    <row r="270" spans="1:5" x14ac:dyDescent="0.25">
      <c r="A270" t="s">
        <v>277</v>
      </c>
      <c r="B270" t="s">
        <v>168</v>
      </c>
      <c r="C270" s="2">
        <f>HYPERLINK("https://cao.dolgi.msk.ru/account/1050292982/", 1050292982)</f>
        <v>1050292982</v>
      </c>
      <c r="D270" s="4">
        <v>9733.73</v>
      </c>
      <c r="E270">
        <v>2.4500000000000002</v>
      </c>
    </row>
    <row r="271" spans="1:5" x14ac:dyDescent="0.25">
      <c r="A271" t="s">
        <v>277</v>
      </c>
      <c r="B271" t="s">
        <v>193</v>
      </c>
      <c r="C271" s="2">
        <f>HYPERLINK("https://cao.dolgi.msk.ru/account/1050293475/", 1050293475)</f>
        <v>1050293475</v>
      </c>
      <c r="D271" s="4">
        <v>9513.52</v>
      </c>
      <c r="E271">
        <v>1.36</v>
      </c>
    </row>
    <row r="272" spans="1:5" x14ac:dyDescent="0.25">
      <c r="A272" t="s">
        <v>277</v>
      </c>
      <c r="B272" t="s">
        <v>194</v>
      </c>
      <c r="C272" s="2">
        <f>HYPERLINK("https://cao.dolgi.msk.ru/account/1058133601/", 1058133601)</f>
        <v>1058133601</v>
      </c>
      <c r="D272" s="4">
        <v>7760.56</v>
      </c>
      <c r="E272">
        <v>1.18</v>
      </c>
    </row>
    <row r="273" spans="1:5" x14ac:dyDescent="0.25">
      <c r="A273" t="s">
        <v>277</v>
      </c>
      <c r="B273" t="s">
        <v>196</v>
      </c>
      <c r="C273" s="2">
        <f>HYPERLINK("https://cao.dolgi.msk.ru/account/1050293547/", 1050293547)</f>
        <v>1050293547</v>
      </c>
      <c r="D273" s="4">
        <v>5122.51</v>
      </c>
      <c r="E273">
        <v>1.42</v>
      </c>
    </row>
    <row r="274" spans="1:5" x14ac:dyDescent="0.25">
      <c r="A274" t="s">
        <v>277</v>
      </c>
      <c r="B274" t="s">
        <v>203</v>
      </c>
      <c r="C274" s="2">
        <f>HYPERLINK("https://cao.dolgi.msk.ru/account/1050293707/", 1050293707)</f>
        <v>1050293707</v>
      </c>
      <c r="D274" s="4">
        <v>10717.08</v>
      </c>
      <c r="E274">
        <v>2.04</v>
      </c>
    </row>
    <row r="275" spans="1:5" x14ac:dyDescent="0.25">
      <c r="A275" t="s">
        <v>277</v>
      </c>
      <c r="B275" t="s">
        <v>215</v>
      </c>
      <c r="C275" s="2">
        <f>HYPERLINK("https://cao.dolgi.msk.ru/account/1050293985/", 1050293985)</f>
        <v>1050293985</v>
      </c>
      <c r="D275" s="4">
        <v>19723.060000000001</v>
      </c>
      <c r="E275">
        <v>4.59</v>
      </c>
    </row>
    <row r="276" spans="1:5" x14ac:dyDescent="0.25">
      <c r="A276" t="s">
        <v>277</v>
      </c>
      <c r="B276" t="s">
        <v>279</v>
      </c>
      <c r="C276" s="2">
        <f>HYPERLINK("https://cao.dolgi.msk.ru/account/1050294056/", 1050294056)</f>
        <v>1050294056</v>
      </c>
      <c r="D276" s="4">
        <v>215072.8</v>
      </c>
      <c r="E276">
        <v>37.479999999999997</v>
      </c>
    </row>
    <row r="277" spans="1:5" x14ac:dyDescent="0.25">
      <c r="A277" t="s">
        <v>277</v>
      </c>
      <c r="B277" t="s">
        <v>284</v>
      </c>
      <c r="C277" s="2">
        <f>HYPERLINK("https://cao.dolgi.msk.ru/account/1050293467/", 1050293467)</f>
        <v>1050293467</v>
      </c>
      <c r="D277" s="4">
        <v>12190.8</v>
      </c>
      <c r="E277">
        <v>1.27</v>
      </c>
    </row>
    <row r="278" spans="1:5" x14ac:dyDescent="0.25">
      <c r="A278" t="s">
        <v>277</v>
      </c>
      <c r="B278" t="s">
        <v>291</v>
      </c>
      <c r="C278" s="2">
        <f>HYPERLINK("https://cao.dolgi.msk.ru/account/1050294128/", 1050294128)</f>
        <v>1050294128</v>
      </c>
      <c r="D278" s="4">
        <v>17592.54</v>
      </c>
      <c r="E278">
        <v>2.27</v>
      </c>
    </row>
    <row r="279" spans="1:5" x14ac:dyDescent="0.25">
      <c r="A279" t="s">
        <v>277</v>
      </c>
      <c r="B279" t="s">
        <v>292</v>
      </c>
      <c r="C279" s="2">
        <f>HYPERLINK("https://cao.dolgi.msk.ru/account/1050294267/", 1050294267)</f>
        <v>1050294267</v>
      </c>
      <c r="D279" s="4">
        <v>14876.1</v>
      </c>
      <c r="E279">
        <v>2.06</v>
      </c>
    </row>
    <row r="280" spans="1:5" x14ac:dyDescent="0.25">
      <c r="A280" t="s">
        <v>294</v>
      </c>
      <c r="B280" t="s">
        <v>30</v>
      </c>
      <c r="C280" s="2">
        <f>HYPERLINK("https://cao.dolgi.msk.ru/account/1050280594/", 1050280594)</f>
        <v>1050280594</v>
      </c>
      <c r="D280" s="4">
        <v>17180.39</v>
      </c>
      <c r="E280">
        <v>1.97</v>
      </c>
    </row>
    <row r="281" spans="1:5" x14ac:dyDescent="0.25">
      <c r="A281" t="s">
        <v>294</v>
      </c>
      <c r="B281" t="s">
        <v>37</v>
      </c>
      <c r="C281" s="2">
        <f>HYPERLINK("https://cao.dolgi.msk.ru/account/1050280711/", 1050280711)</f>
        <v>1050280711</v>
      </c>
      <c r="D281" s="4">
        <v>10999.86</v>
      </c>
      <c r="E281">
        <v>1.33</v>
      </c>
    </row>
    <row r="282" spans="1:5" x14ac:dyDescent="0.25">
      <c r="A282" t="s">
        <v>294</v>
      </c>
      <c r="B282" t="s">
        <v>50</v>
      </c>
      <c r="C282" s="2">
        <f>HYPERLINK("https://cao.dolgi.msk.ru/account/1050281001/", 1050281001)</f>
        <v>1050281001</v>
      </c>
      <c r="D282" s="4">
        <v>11990.67</v>
      </c>
      <c r="E282">
        <v>2.16</v>
      </c>
    </row>
    <row r="283" spans="1:5" x14ac:dyDescent="0.25">
      <c r="A283" t="s">
        <v>294</v>
      </c>
      <c r="B283" t="s">
        <v>61</v>
      </c>
      <c r="C283" s="2">
        <f>HYPERLINK("https://cao.dolgi.msk.ru/account/1050281255/", 1050281255)</f>
        <v>1050281255</v>
      </c>
      <c r="D283" s="4">
        <v>20066.740000000002</v>
      </c>
      <c r="E283">
        <v>2.96</v>
      </c>
    </row>
    <row r="284" spans="1:5" x14ac:dyDescent="0.25">
      <c r="A284" t="s">
        <v>294</v>
      </c>
      <c r="B284" t="s">
        <v>84</v>
      </c>
      <c r="C284" s="2">
        <f>HYPERLINK("https://cao.dolgi.msk.ru/account/1050281677/", 1050281677)</f>
        <v>1050281677</v>
      </c>
      <c r="D284" s="4">
        <v>5468.55</v>
      </c>
      <c r="E284">
        <v>1.02</v>
      </c>
    </row>
    <row r="285" spans="1:5" x14ac:dyDescent="0.25">
      <c r="A285" t="s">
        <v>295</v>
      </c>
      <c r="B285" t="s">
        <v>9</v>
      </c>
      <c r="C285" s="2">
        <f>HYPERLINK("https://cao.dolgi.msk.ru/account/1050298858/", 1050298858)</f>
        <v>1050298858</v>
      </c>
      <c r="D285" s="4">
        <v>13785.75</v>
      </c>
      <c r="E285">
        <v>1.63</v>
      </c>
    </row>
    <row r="286" spans="1:5" x14ac:dyDescent="0.25">
      <c r="A286" t="s">
        <v>295</v>
      </c>
      <c r="B286" t="s">
        <v>12</v>
      </c>
      <c r="C286" s="2">
        <f>HYPERLINK("https://cao.dolgi.msk.ru/account/1050298938/", 1050298938)</f>
        <v>1050298938</v>
      </c>
      <c r="D286" s="4">
        <v>14723.62</v>
      </c>
      <c r="E286">
        <v>3.01</v>
      </c>
    </row>
    <row r="287" spans="1:5" x14ac:dyDescent="0.25">
      <c r="A287" t="s">
        <v>295</v>
      </c>
      <c r="B287" t="s">
        <v>22</v>
      </c>
      <c r="C287" s="2">
        <f>HYPERLINK("https://cao.dolgi.msk.ru/account/1050299156/", 1050299156)</f>
        <v>1050299156</v>
      </c>
      <c r="D287" s="4">
        <v>21526.76</v>
      </c>
      <c r="E287">
        <v>2.99</v>
      </c>
    </row>
    <row r="288" spans="1:5" x14ac:dyDescent="0.25">
      <c r="A288" t="s">
        <v>295</v>
      </c>
      <c r="B288" t="s">
        <v>40</v>
      </c>
      <c r="C288" s="2">
        <f>HYPERLINK("https://cao.dolgi.msk.ru/account/1050299498/", 1050299498)</f>
        <v>1050299498</v>
      </c>
      <c r="D288" s="4">
        <v>24516.99</v>
      </c>
      <c r="E288">
        <v>1.99</v>
      </c>
    </row>
    <row r="289" spans="1:5" x14ac:dyDescent="0.25">
      <c r="A289" t="s">
        <v>295</v>
      </c>
      <c r="B289" t="s">
        <v>56</v>
      </c>
      <c r="C289" s="2">
        <f>HYPERLINK("https://cao.dolgi.msk.ru/account/1050299885/", 1050299885)</f>
        <v>1050299885</v>
      </c>
      <c r="D289" s="4">
        <v>20654.05</v>
      </c>
      <c r="E289">
        <v>1.98</v>
      </c>
    </row>
    <row r="290" spans="1:5" x14ac:dyDescent="0.25">
      <c r="A290" t="s">
        <v>295</v>
      </c>
      <c r="B290" t="s">
        <v>63</v>
      </c>
      <c r="C290" s="2">
        <f>HYPERLINK("https://cao.dolgi.msk.ru/account/1050300006/", 1050300006)</f>
        <v>1050300006</v>
      </c>
      <c r="D290" s="4">
        <v>14380.8</v>
      </c>
      <c r="E290">
        <v>2</v>
      </c>
    </row>
    <row r="291" spans="1:5" x14ac:dyDescent="0.25">
      <c r="A291" t="s">
        <v>296</v>
      </c>
      <c r="B291" t="s">
        <v>13</v>
      </c>
      <c r="C291" s="2">
        <f>HYPERLINK("https://cao.dolgi.msk.ru/account/1050298882/", 1050298882)</f>
        <v>1050298882</v>
      </c>
      <c r="D291" s="4">
        <v>13758.38</v>
      </c>
      <c r="E291">
        <v>1.99</v>
      </c>
    </row>
    <row r="292" spans="1:5" x14ac:dyDescent="0.25">
      <c r="A292" t="s">
        <v>296</v>
      </c>
      <c r="B292" t="s">
        <v>93</v>
      </c>
      <c r="C292" s="2">
        <f>HYPERLINK("https://cao.dolgi.msk.ru/account/1050299068/", 1050299068)</f>
        <v>1050299068</v>
      </c>
      <c r="D292" s="4">
        <v>13414.37</v>
      </c>
      <c r="E292">
        <v>1.97</v>
      </c>
    </row>
    <row r="293" spans="1:5" x14ac:dyDescent="0.25">
      <c r="A293" t="s">
        <v>296</v>
      </c>
      <c r="B293" t="s">
        <v>39</v>
      </c>
      <c r="C293" s="2">
        <f>HYPERLINK("https://cao.dolgi.msk.ru/account/1050299893/", 1050299893)</f>
        <v>1050299893</v>
      </c>
      <c r="D293" s="4">
        <v>15550.91</v>
      </c>
      <c r="E293">
        <v>2.98</v>
      </c>
    </row>
    <row r="294" spans="1:5" x14ac:dyDescent="0.25">
      <c r="A294" t="s">
        <v>296</v>
      </c>
      <c r="B294" t="s">
        <v>59</v>
      </c>
      <c r="C294" s="2">
        <f>HYPERLINK("https://cao.dolgi.msk.ru/account/1050300559/", 1050300559)</f>
        <v>1050300559</v>
      </c>
      <c r="D294" s="4">
        <v>62857.04</v>
      </c>
      <c r="E294">
        <v>4.53</v>
      </c>
    </row>
    <row r="295" spans="1:5" x14ac:dyDescent="0.25">
      <c r="A295" t="s">
        <v>297</v>
      </c>
      <c r="B295" t="s">
        <v>8</v>
      </c>
      <c r="C295" s="2">
        <f>HYPERLINK("https://cao.dolgi.msk.ru/account/1057100859/", 1057100859)</f>
        <v>1057100859</v>
      </c>
      <c r="D295" s="4">
        <v>8039.56</v>
      </c>
      <c r="E295">
        <v>1.92</v>
      </c>
    </row>
    <row r="296" spans="1:5" x14ac:dyDescent="0.25">
      <c r="A296" t="s">
        <v>297</v>
      </c>
      <c r="B296" t="s">
        <v>93</v>
      </c>
      <c r="C296" s="2">
        <f>HYPERLINK("https://cao.dolgi.msk.ru/account/1057101069/", 1057101069)</f>
        <v>1057101069</v>
      </c>
      <c r="D296" s="4">
        <v>12276.02</v>
      </c>
      <c r="E296">
        <v>1.92</v>
      </c>
    </row>
    <row r="297" spans="1:5" x14ac:dyDescent="0.25">
      <c r="A297" t="s">
        <v>297</v>
      </c>
      <c r="B297" t="s">
        <v>23</v>
      </c>
      <c r="C297" s="2">
        <f>HYPERLINK("https://cao.dolgi.msk.ru/account/1057101114/", 1057101114)</f>
        <v>1057101114</v>
      </c>
      <c r="D297" s="4">
        <v>5954.6</v>
      </c>
      <c r="E297">
        <v>1.1599999999999999</v>
      </c>
    </row>
    <row r="298" spans="1:5" x14ac:dyDescent="0.25">
      <c r="A298" t="s">
        <v>297</v>
      </c>
      <c r="B298" t="s">
        <v>24</v>
      </c>
      <c r="C298" s="2">
        <f>HYPERLINK("https://cao.dolgi.msk.ru/account/1057101122/", 1057101122)</f>
        <v>1057101122</v>
      </c>
      <c r="D298" s="4">
        <v>10109.17</v>
      </c>
      <c r="E298">
        <v>2.37</v>
      </c>
    </row>
    <row r="299" spans="1:5" x14ac:dyDescent="0.25">
      <c r="A299" t="s">
        <v>297</v>
      </c>
      <c r="B299" t="s">
        <v>27</v>
      </c>
      <c r="C299" s="2">
        <f>HYPERLINK("https://cao.dolgi.msk.ru/account/1058151631/", 1058151631)</f>
        <v>1058151631</v>
      </c>
      <c r="D299" s="4">
        <v>8570.32</v>
      </c>
      <c r="E299">
        <v>1.67</v>
      </c>
    </row>
    <row r="300" spans="1:5" x14ac:dyDescent="0.25">
      <c r="A300" t="s">
        <v>297</v>
      </c>
      <c r="B300" t="s">
        <v>43</v>
      </c>
      <c r="C300" s="2">
        <f>HYPERLINK("https://cao.dolgi.msk.ru/account/1058023621/", 1058023621)</f>
        <v>1058023621</v>
      </c>
      <c r="D300" s="4">
        <v>32244.240000000002</v>
      </c>
      <c r="E300">
        <v>2.42</v>
      </c>
    </row>
    <row r="301" spans="1:5" x14ac:dyDescent="0.25">
      <c r="A301" t="s">
        <v>297</v>
      </c>
      <c r="B301" t="s">
        <v>56</v>
      </c>
      <c r="C301" s="2">
        <f>HYPERLINK("https://cao.dolgi.msk.ru/account/1057101552/", 1057101552)</f>
        <v>1057101552</v>
      </c>
      <c r="D301" s="4">
        <v>13694.21</v>
      </c>
      <c r="E301">
        <v>1.8</v>
      </c>
    </row>
    <row r="302" spans="1:5" x14ac:dyDescent="0.25">
      <c r="A302" t="s">
        <v>297</v>
      </c>
      <c r="B302" t="s">
        <v>66</v>
      </c>
      <c r="C302" s="2">
        <f>HYPERLINK("https://cao.dolgi.msk.ru/account/1057101659/", 1057101659)</f>
        <v>1057101659</v>
      </c>
      <c r="D302" s="4">
        <v>7805.68</v>
      </c>
      <c r="E302">
        <v>1.71</v>
      </c>
    </row>
    <row r="303" spans="1:5" x14ac:dyDescent="0.25">
      <c r="A303" t="s">
        <v>297</v>
      </c>
      <c r="B303" t="s">
        <v>71</v>
      </c>
      <c r="C303" s="2">
        <f>HYPERLINK("https://cao.dolgi.msk.ru/account/1057120569/", 1057120569)</f>
        <v>1057120569</v>
      </c>
      <c r="D303" s="4">
        <v>72024.55</v>
      </c>
      <c r="E303">
        <v>14.97</v>
      </c>
    </row>
    <row r="304" spans="1:5" x14ac:dyDescent="0.25">
      <c r="A304" t="s">
        <v>297</v>
      </c>
      <c r="B304" t="s">
        <v>72</v>
      </c>
      <c r="C304" s="2">
        <f>HYPERLINK("https://cao.dolgi.msk.ru/account/1057101819/", 1057101819)</f>
        <v>1057101819</v>
      </c>
      <c r="D304" s="4">
        <v>37251.43</v>
      </c>
      <c r="E304">
        <v>8.69</v>
      </c>
    </row>
    <row r="305" spans="1:5" x14ac:dyDescent="0.25">
      <c r="A305" t="s">
        <v>298</v>
      </c>
      <c r="B305" t="s">
        <v>19</v>
      </c>
      <c r="C305" s="2">
        <f>HYPERLINK("https://cao.dolgi.msk.ru/account/1050342505/", 1050342505)</f>
        <v>1050342505</v>
      </c>
      <c r="D305" s="4">
        <v>10001.1</v>
      </c>
      <c r="E305">
        <v>1.02</v>
      </c>
    </row>
    <row r="306" spans="1:5" x14ac:dyDescent="0.25">
      <c r="A306" t="s">
        <v>298</v>
      </c>
      <c r="B306" t="s">
        <v>24</v>
      </c>
      <c r="C306" s="2">
        <f>HYPERLINK("https://cao.dolgi.msk.ru/account/1050342716/", 1050342716)</f>
        <v>1050342716</v>
      </c>
      <c r="D306" s="4">
        <v>9641.0499999999993</v>
      </c>
      <c r="E306">
        <v>1.02</v>
      </c>
    </row>
    <row r="307" spans="1:5" x14ac:dyDescent="0.25">
      <c r="A307" t="s">
        <v>299</v>
      </c>
      <c r="B307" t="s">
        <v>52</v>
      </c>
      <c r="C307" s="2">
        <f>HYPERLINK("https://cao.dolgi.msk.ru/account/1050343946/", 1050343946)</f>
        <v>1050343946</v>
      </c>
      <c r="D307" s="4">
        <v>8775.4599999999991</v>
      </c>
      <c r="E307">
        <v>1.01</v>
      </c>
    </row>
    <row r="308" spans="1:5" x14ac:dyDescent="0.25">
      <c r="A308" t="s">
        <v>299</v>
      </c>
      <c r="B308" t="s">
        <v>56</v>
      </c>
      <c r="C308" s="2">
        <f>HYPERLINK("https://cao.dolgi.msk.ru/account/1050342564/", 1050342564)</f>
        <v>1050342564</v>
      </c>
      <c r="D308" s="4">
        <v>13254.29</v>
      </c>
      <c r="E308">
        <v>2.0699999999999998</v>
      </c>
    </row>
    <row r="309" spans="1:5" x14ac:dyDescent="0.25">
      <c r="A309" t="s">
        <v>300</v>
      </c>
      <c r="B309" t="s">
        <v>96</v>
      </c>
      <c r="C309" s="2">
        <f>HYPERLINK("https://cao.dolgi.msk.ru/account/1050344973/", 1050344973)</f>
        <v>1050344973</v>
      </c>
      <c r="D309" s="4">
        <v>9311.2800000000007</v>
      </c>
      <c r="E309">
        <v>2</v>
      </c>
    </row>
    <row r="310" spans="1:5" x14ac:dyDescent="0.25">
      <c r="A310" t="s">
        <v>301</v>
      </c>
      <c r="B310" t="s">
        <v>12</v>
      </c>
      <c r="C310" s="2">
        <f>HYPERLINK("https://cao.dolgi.msk.ru/account/1050346602/", 1050346602)</f>
        <v>1050346602</v>
      </c>
      <c r="D310" s="4">
        <v>6259.03</v>
      </c>
      <c r="E310">
        <v>1.83</v>
      </c>
    </row>
    <row r="311" spans="1:5" x14ac:dyDescent="0.25">
      <c r="A311" t="s">
        <v>301</v>
      </c>
      <c r="B311" t="s">
        <v>18</v>
      </c>
      <c r="C311" s="2">
        <f>HYPERLINK("https://cao.dolgi.msk.ru/account/1050346688/", 1050346688)</f>
        <v>1050346688</v>
      </c>
      <c r="D311" s="4">
        <v>166005.03</v>
      </c>
      <c r="E311">
        <v>32.01</v>
      </c>
    </row>
    <row r="312" spans="1:5" x14ac:dyDescent="0.25">
      <c r="A312" t="s">
        <v>301</v>
      </c>
      <c r="B312" t="s">
        <v>20</v>
      </c>
      <c r="C312" s="2">
        <f>HYPERLINK("https://cao.dolgi.msk.ru/account/1050346717/", 1050346717)</f>
        <v>1050346717</v>
      </c>
      <c r="D312" s="4">
        <v>7061.72</v>
      </c>
      <c r="E312">
        <v>2.4700000000000002</v>
      </c>
    </row>
    <row r="313" spans="1:5" x14ac:dyDescent="0.25">
      <c r="A313" t="s">
        <v>301</v>
      </c>
      <c r="B313" t="s">
        <v>32</v>
      </c>
      <c r="C313" s="2">
        <f>HYPERLINK("https://cao.dolgi.msk.ru/account/1050346848/", 1050346848)</f>
        <v>1050346848</v>
      </c>
      <c r="D313" s="4">
        <v>21725.53</v>
      </c>
      <c r="E313">
        <v>4.17</v>
      </c>
    </row>
    <row r="314" spans="1:5" x14ac:dyDescent="0.25">
      <c r="A314" t="s">
        <v>301</v>
      </c>
      <c r="B314" t="s">
        <v>33</v>
      </c>
      <c r="C314" s="2">
        <f>HYPERLINK("https://cao.dolgi.msk.ru/account/1050346856/", 1050346856)</f>
        <v>1050346856</v>
      </c>
      <c r="D314" s="4">
        <v>10374.370000000001</v>
      </c>
      <c r="E314">
        <v>3.92</v>
      </c>
    </row>
    <row r="315" spans="1:5" x14ac:dyDescent="0.25">
      <c r="A315" t="s">
        <v>301</v>
      </c>
      <c r="B315" t="s">
        <v>34</v>
      </c>
      <c r="C315" s="2">
        <f>HYPERLINK("https://cao.dolgi.msk.ru/account/1050346864/", 1050346864)</f>
        <v>1050346864</v>
      </c>
      <c r="D315" s="4">
        <v>16795.3</v>
      </c>
      <c r="E315">
        <v>2.37</v>
      </c>
    </row>
    <row r="316" spans="1:5" x14ac:dyDescent="0.25">
      <c r="A316" t="s">
        <v>301</v>
      </c>
      <c r="B316" t="s">
        <v>38</v>
      </c>
      <c r="C316" s="2">
        <f>HYPERLINK("https://cao.dolgi.msk.ru/account/1050346928/", 1050346928)</f>
        <v>1050346928</v>
      </c>
      <c r="D316" s="4">
        <v>6505.42</v>
      </c>
      <c r="E316">
        <v>1.71</v>
      </c>
    </row>
    <row r="317" spans="1:5" x14ac:dyDescent="0.25">
      <c r="A317" t="s">
        <v>301</v>
      </c>
      <c r="B317" t="s">
        <v>39</v>
      </c>
      <c r="C317" s="2">
        <f>HYPERLINK("https://cao.dolgi.msk.ru/account/1050346936/", 1050346936)</f>
        <v>1050346936</v>
      </c>
      <c r="D317" s="4">
        <v>6970.67</v>
      </c>
      <c r="E317">
        <v>1.01</v>
      </c>
    </row>
    <row r="318" spans="1:5" x14ac:dyDescent="0.25">
      <c r="A318" t="s">
        <v>301</v>
      </c>
      <c r="B318" t="s">
        <v>41</v>
      </c>
      <c r="C318" s="2">
        <f>HYPERLINK("https://cao.dolgi.msk.ru/account/1050346952/", 1050346952)</f>
        <v>1050346952</v>
      </c>
      <c r="D318" s="4">
        <v>11619.07</v>
      </c>
      <c r="E318">
        <v>2.97</v>
      </c>
    </row>
    <row r="319" spans="1:5" x14ac:dyDescent="0.25">
      <c r="A319" t="s">
        <v>301</v>
      </c>
      <c r="B319" t="s">
        <v>57</v>
      </c>
      <c r="C319" s="2">
        <f>HYPERLINK("https://cao.dolgi.msk.ru/account/1050347162/", 1050347162)</f>
        <v>1050347162</v>
      </c>
      <c r="D319" s="4">
        <v>259762.02</v>
      </c>
      <c r="E319">
        <v>42.4</v>
      </c>
    </row>
    <row r="320" spans="1:5" x14ac:dyDescent="0.25">
      <c r="A320" t="s">
        <v>301</v>
      </c>
      <c r="B320" t="s">
        <v>60</v>
      </c>
      <c r="C320" s="2">
        <f>HYPERLINK("https://cao.dolgi.msk.ru/account/1050347218/", 1050347218)</f>
        <v>1050347218</v>
      </c>
      <c r="D320" s="4">
        <v>23525.279999999999</v>
      </c>
      <c r="E320">
        <v>4</v>
      </c>
    </row>
    <row r="321" spans="1:5" x14ac:dyDescent="0.25">
      <c r="A321" t="s">
        <v>301</v>
      </c>
      <c r="B321" t="s">
        <v>64</v>
      </c>
      <c r="C321" s="2">
        <f>HYPERLINK("https://cao.dolgi.msk.ru/account/1050347269/", 1050347269)</f>
        <v>1050347269</v>
      </c>
      <c r="D321" s="4">
        <v>172954.65</v>
      </c>
      <c r="E321">
        <v>15.69</v>
      </c>
    </row>
    <row r="322" spans="1:5" x14ac:dyDescent="0.25">
      <c r="A322" t="s">
        <v>301</v>
      </c>
      <c r="B322" t="s">
        <v>69</v>
      </c>
      <c r="C322" s="2">
        <f>HYPERLINK("https://cao.dolgi.msk.ru/account/1058137071/", 1058137071)</f>
        <v>1058137071</v>
      </c>
      <c r="D322" s="4">
        <v>8110.13</v>
      </c>
      <c r="E322">
        <v>1.35</v>
      </c>
    </row>
    <row r="323" spans="1:5" x14ac:dyDescent="0.25">
      <c r="A323" t="s">
        <v>302</v>
      </c>
      <c r="B323" t="s">
        <v>30</v>
      </c>
      <c r="C323" s="2">
        <f>HYPERLINK("https://cao.dolgi.msk.ru/account/1057120315/", 1057120315)</f>
        <v>1057120315</v>
      </c>
      <c r="D323" s="4">
        <v>5503.72</v>
      </c>
      <c r="E323">
        <v>1.75</v>
      </c>
    </row>
    <row r="324" spans="1:5" x14ac:dyDescent="0.25">
      <c r="A324" t="s">
        <v>302</v>
      </c>
      <c r="B324" t="s">
        <v>55</v>
      </c>
      <c r="C324" s="2">
        <f>HYPERLINK("https://cao.dolgi.msk.ru/account/1057100621/", 1057100621)</f>
        <v>1057100621</v>
      </c>
      <c r="D324" s="4">
        <v>8564.64</v>
      </c>
      <c r="E324">
        <v>2.13</v>
      </c>
    </row>
    <row r="325" spans="1:5" x14ac:dyDescent="0.25">
      <c r="A325" t="s">
        <v>303</v>
      </c>
      <c r="B325" t="s">
        <v>12</v>
      </c>
      <c r="C325" s="2">
        <f>HYPERLINK("https://cao.dolgi.msk.ru/account/1050566672/", 1050566672)</f>
        <v>1050566672</v>
      </c>
      <c r="D325" s="4">
        <v>43964.65</v>
      </c>
      <c r="E325">
        <v>5.25</v>
      </c>
    </row>
    <row r="326" spans="1:5" x14ac:dyDescent="0.25">
      <c r="A326" t="s">
        <v>303</v>
      </c>
      <c r="B326" t="s">
        <v>48</v>
      </c>
      <c r="C326" s="2">
        <f>HYPERLINK("https://cao.dolgi.msk.ru/account/1050567448/", 1050567448)</f>
        <v>1050567448</v>
      </c>
      <c r="D326" s="4">
        <v>8862.93</v>
      </c>
      <c r="E326">
        <v>1.43</v>
      </c>
    </row>
    <row r="327" spans="1:5" x14ac:dyDescent="0.25">
      <c r="A327" t="s">
        <v>303</v>
      </c>
      <c r="B327" t="s">
        <v>58</v>
      </c>
      <c r="C327" s="2">
        <f>HYPERLINK("https://cao.dolgi.msk.ru/account/1050567624/", 1050567624)</f>
        <v>1050567624</v>
      </c>
      <c r="D327" s="4">
        <v>17418.54</v>
      </c>
      <c r="E327">
        <v>3.97</v>
      </c>
    </row>
    <row r="328" spans="1:5" x14ac:dyDescent="0.25">
      <c r="A328" t="s">
        <v>303</v>
      </c>
      <c r="B328" t="s">
        <v>60</v>
      </c>
      <c r="C328" s="2">
        <f>HYPERLINK("https://cao.dolgi.msk.ru/account/1050567675/", 1050567675)</f>
        <v>1050567675</v>
      </c>
      <c r="D328" s="4">
        <v>23321.8</v>
      </c>
      <c r="E328">
        <v>4</v>
      </c>
    </row>
    <row r="329" spans="1:5" x14ac:dyDescent="0.25">
      <c r="A329" t="s">
        <v>303</v>
      </c>
      <c r="B329" t="s">
        <v>66</v>
      </c>
      <c r="C329" s="2">
        <f>HYPERLINK("https://cao.dolgi.msk.ru/account/1050567798/", 1050567798)</f>
        <v>1050567798</v>
      </c>
      <c r="D329" s="4">
        <v>28253.53</v>
      </c>
      <c r="E329">
        <v>3.36</v>
      </c>
    </row>
    <row r="330" spans="1:5" x14ac:dyDescent="0.25">
      <c r="A330" t="s">
        <v>303</v>
      </c>
      <c r="B330" t="s">
        <v>75</v>
      </c>
      <c r="C330" s="2">
        <f>HYPERLINK("https://cao.dolgi.msk.ru/account/1058155755/", 1058155755)</f>
        <v>1058155755</v>
      </c>
      <c r="D330" s="4">
        <v>12014.19</v>
      </c>
      <c r="E330">
        <v>2.63</v>
      </c>
    </row>
    <row r="331" spans="1:5" x14ac:dyDescent="0.25">
      <c r="A331" t="s">
        <v>304</v>
      </c>
      <c r="B331" t="s">
        <v>13</v>
      </c>
      <c r="C331" s="2">
        <f>HYPERLINK("https://cao.dolgi.msk.ru/account/1050569558/", 1050569558)</f>
        <v>1050569558</v>
      </c>
      <c r="D331" s="4">
        <v>11622.23</v>
      </c>
      <c r="E331">
        <v>2</v>
      </c>
    </row>
    <row r="332" spans="1:5" x14ac:dyDescent="0.25">
      <c r="A332" t="s">
        <v>304</v>
      </c>
      <c r="B332" t="s">
        <v>93</v>
      </c>
      <c r="C332" s="2">
        <f>HYPERLINK("https://cao.dolgi.msk.ru/account/1050569718/", 1050569718)</f>
        <v>1050569718</v>
      </c>
      <c r="D332" s="4">
        <v>12978.18</v>
      </c>
      <c r="E332">
        <v>2</v>
      </c>
    </row>
    <row r="333" spans="1:5" x14ac:dyDescent="0.25">
      <c r="A333" t="s">
        <v>304</v>
      </c>
      <c r="B333" t="s">
        <v>28</v>
      </c>
      <c r="C333" s="2">
        <f>HYPERLINK("https://cao.dolgi.msk.ru/account/1050569953/", 1050569953)</f>
        <v>1050569953</v>
      </c>
      <c r="D333" s="4">
        <v>495880.12</v>
      </c>
      <c r="E333">
        <v>51.2</v>
      </c>
    </row>
    <row r="334" spans="1:5" x14ac:dyDescent="0.25">
      <c r="A334" t="s">
        <v>304</v>
      </c>
      <c r="B334" t="s">
        <v>38</v>
      </c>
      <c r="C334" s="2">
        <f>HYPERLINK("https://cao.dolgi.msk.ru/account/1050570209/", 1050570209)</f>
        <v>1050570209</v>
      </c>
      <c r="D334" s="4">
        <v>5362.06</v>
      </c>
      <c r="E334">
        <v>1.91</v>
      </c>
    </row>
    <row r="335" spans="1:5" x14ac:dyDescent="0.25">
      <c r="A335" t="s">
        <v>304</v>
      </c>
      <c r="B335" t="s">
        <v>44</v>
      </c>
      <c r="C335" s="2">
        <f>HYPERLINK("https://cao.dolgi.msk.ru/account/1050570348/", 1050570348)</f>
        <v>1050570348</v>
      </c>
      <c r="D335" s="4">
        <v>18094.169999999998</v>
      </c>
      <c r="E335">
        <v>2.84</v>
      </c>
    </row>
    <row r="336" spans="1:5" x14ac:dyDescent="0.25">
      <c r="A336" t="s">
        <v>304</v>
      </c>
      <c r="B336" t="s">
        <v>51</v>
      </c>
      <c r="C336" s="2">
        <f>HYPERLINK("https://cao.dolgi.msk.ru/account/1050570516/", 1050570516)</f>
        <v>1050570516</v>
      </c>
      <c r="D336" s="4">
        <v>5911.56</v>
      </c>
      <c r="E336">
        <v>1.03</v>
      </c>
    </row>
    <row r="337" spans="1:5" x14ac:dyDescent="0.25">
      <c r="A337" t="s">
        <v>304</v>
      </c>
      <c r="B337" t="s">
        <v>62</v>
      </c>
      <c r="C337" s="2">
        <f>HYPERLINK("https://cao.dolgi.msk.ru/account/1050571295/", 1050571295)</f>
        <v>1050571295</v>
      </c>
      <c r="D337" s="4">
        <v>12098.11</v>
      </c>
      <c r="E337">
        <v>1.99</v>
      </c>
    </row>
    <row r="338" spans="1:5" x14ac:dyDescent="0.25">
      <c r="A338" t="s">
        <v>305</v>
      </c>
      <c r="B338" t="s">
        <v>82</v>
      </c>
      <c r="C338" s="2">
        <f>HYPERLINK("https://cao.dolgi.msk.ru/account/1050571463/", 1050571463)</f>
        <v>1050571463</v>
      </c>
      <c r="D338" s="4">
        <v>8223.52</v>
      </c>
      <c r="E338">
        <v>1.08</v>
      </c>
    </row>
    <row r="339" spans="1:5" x14ac:dyDescent="0.25">
      <c r="A339" t="s">
        <v>305</v>
      </c>
      <c r="B339" t="s">
        <v>83</v>
      </c>
      <c r="C339" s="2">
        <f>HYPERLINK("https://cao.dolgi.msk.ru/account/1050571498/", 1050571498)</f>
        <v>1050571498</v>
      </c>
      <c r="D339" s="4">
        <v>7290.84</v>
      </c>
      <c r="E339">
        <v>2.0699999999999998</v>
      </c>
    </row>
    <row r="340" spans="1:5" x14ac:dyDescent="0.25">
      <c r="A340" t="s">
        <v>305</v>
      </c>
      <c r="B340" t="s">
        <v>88</v>
      </c>
      <c r="C340" s="2">
        <f>HYPERLINK("https://cao.dolgi.msk.ru/account/1050571586/", 1050571586)</f>
        <v>1050571586</v>
      </c>
      <c r="D340" s="4">
        <v>23977.31</v>
      </c>
      <c r="E340">
        <v>7.5</v>
      </c>
    </row>
    <row r="341" spans="1:5" x14ac:dyDescent="0.25">
      <c r="A341" t="s">
        <v>305</v>
      </c>
      <c r="B341" t="s">
        <v>91</v>
      </c>
      <c r="C341" s="2">
        <f>HYPERLINK("https://cao.dolgi.msk.ru/account/1050571674/", 1050571674)</f>
        <v>1050571674</v>
      </c>
      <c r="D341" s="4">
        <v>20547.13</v>
      </c>
      <c r="E341">
        <v>2.72</v>
      </c>
    </row>
    <row r="342" spans="1:5" x14ac:dyDescent="0.25">
      <c r="A342" t="s">
        <v>305</v>
      </c>
      <c r="B342" t="s">
        <v>105</v>
      </c>
      <c r="C342" s="2">
        <f>HYPERLINK("https://cao.dolgi.msk.ru/account/1050571973/", 1050571973)</f>
        <v>1050571973</v>
      </c>
      <c r="D342" s="4">
        <v>11286.01</v>
      </c>
      <c r="E342">
        <v>1.89</v>
      </c>
    </row>
    <row r="343" spans="1:5" x14ac:dyDescent="0.25">
      <c r="A343" t="s">
        <v>305</v>
      </c>
      <c r="B343" t="s">
        <v>131</v>
      </c>
      <c r="C343" s="2">
        <f>HYPERLINK("https://cao.dolgi.msk.ru/account/1050572976/", 1050572976)</f>
        <v>1050572976</v>
      </c>
      <c r="D343" s="4">
        <v>12716.95</v>
      </c>
      <c r="E343">
        <v>2</v>
      </c>
    </row>
    <row r="344" spans="1:5" x14ac:dyDescent="0.25">
      <c r="A344" t="s">
        <v>305</v>
      </c>
      <c r="B344" t="s">
        <v>140</v>
      </c>
      <c r="C344" s="2">
        <f>HYPERLINK("https://cao.dolgi.msk.ru/account/1058024368/", 1058024368)</f>
        <v>1058024368</v>
      </c>
      <c r="D344" s="4">
        <v>9696.48</v>
      </c>
      <c r="E344">
        <v>2</v>
      </c>
    </row>
    <row r="345" spans="1:5" x14ac:dyDescent="0.25">
      <c r="A345" t="s">
        <v>306</v>
      </c>
      <c r="B345" t="s">
        <v>9</v>
      </c>
      <c r="C345" s="2">
        <f>HYPERLINK("https://cao.dolgi.msk.ru/account/1050574525/", 1050574525)</f>
        <v>1050574525</v>
      </c>
      <c r="D345" s="4">
        <v>1259957.17</v>
      </c>
      <c r="E345">
        <v>51.33</v>
      </c>
    </row>
    <row r="346" spans="1:5" x14ac:dyDescent="0.25">
      <c r="A346" t="s">
        <v>307</v>
      </c>
      <c r="B346" t="s">
        <v>10</v>
      </c>
      <c r="C346" s="2">
        <f>HYPERLINK("https://cao.dolgi.msk.ru/account/1050267234/", 1050267234)</f>
        <v>1050267234</v>
      </c>
      <c r="D346" s="4">
        <v>8178.53</v>
      </c>
      <c r="E346">
        <v>1.01</v>
      </c>
    </row>
    <row r="347" spans="1:5" x14ac:dyDescent="0.25">
      <c r="A347" t="s">
        <v>307</v>
      </c>
      <c r="B347" t="s">
        <v>17</v>
      </c>
      <c r="C347" s="2">
        <f>HYPERLINK("https://cao.dolgi.msk.ru/account/1050267429/", 1050267429)</f>
        <v>1050267429</v>
      </c>
      <c r="D347" s="4">
        <v>12270.04</v>
      </c>
      <c r="E347">
        <v>1.99</v>
      </c>
    </row>
    <row r="348" spans="1:5" x14ac:dyDescent="0.25">
      <c r="A348" t="s">
        <v>307</v>
      </c>
      <c r="B348" t="s">
        <v>20</v>
      </c>
      <c r="C348" s="2">
        <f>HYPERLINK("https://cao.dolgi.msk.ru/account/1050267525/", 1050267525)</f>
        <v>1050267525</v>
      </c>
      <c r="D348" s="4">
        <v>32900.639999999999</v>
      </c>
      <c r="E348">
        <v>3</v>
      </c>
    </row>
    <row r="349" spans="1:5" x14ac:dyDescent="0.25">
      <c r="A349" t="s">
        <v>308</v>
      </c>
      <c r="B349" t="s">
        <v>12</v>
      </c>
      <c r="C349" s="2">
        <f>HYPERLINK("https://cao.dolgi.msk.ru/account/1050267912/", 1050267912)</f>
        <v>1050267912</v>
      </c>
      <c r="D349" s="4">
        <v>12460.76</v>
      </c>
      <c r="E349">
        <v>2</v>
      </c>
    </row>
    <row r="350" spans="1:5" x14ac:dyDescent="0.25">
      <c r="A350" t="s">
        <v>308</v>
      </c>
      <c r="B350" t="s">
        <v>15</v>
      </c>
      <c r="C350" s="2">
        <f>HYPERLINK("https://cao.dolgi.msk.ru/account/1050267971/", 1050267971)</f>
        <v>1050267971</v>
      </c>
      <c r="D350" s="4">
        <v>17987.759999999998</v>
      </c>
      <c r="E350">
        <v>1.98</v>
      </c>
    </row>
    <row r="351" spans="1:5" x14ac:dyDescent="0.25">
      <c r="A351" t="s">
        <v>308</v>
      </c>
      <c r="B351" t="s">
        <v>16</v>
      </c>
      <c r="C351" s="2">
        <f>HYPERLINK("https://cao.dolgi.msk.ru/account/1050267998/", 1050267998)</f>
        <v>1050267998</v>
      </c>
      <c r="D351" s="4">
        <v>39240.03</v>
      </c>
      <c r="E351">
        <v>3.92</v>
      </c>
    </row>
    <row r="352" spans="1:5" x14ac:dyDescent="0.25">
      <c r="A352" t="s">
        <v>308</v>
      </c>
      <c r="B352" t="s">
        <v>93</v>
      </c>
      <c r="C352" s="2">
        <f>HYPERLINK("https://cao.dolgi.msk.ru/account/1050268085/", 1050268085)</f>
        <v>1050268085</v>
      </c>
      <c r="D352" s="4">
        <v>7627.57</v>
      </c>
      <c r="E352">
        <v>1.21</v>
      </c>
    </row>
    <row r="353" spans="1:5" x14ac:dyDescent="0.25">
      <c r="A353" t="s">
        <v>308</v>
      </c>
      <c r="B353" t="s">
        <v>28</v>
      </c>
      <c r="C353" s="2">
        <f>HYPERLINK("https://cao.dolgi.msk.ru/account/1050268296/", 1050268296)</f>
        <v>1050268296</v>
      </c>
      <c r="D353" s="4">
        <v>8651.5499999999993</v>
      </c>
      <c r="E353">
        <v>2.31</v>
      </c>
    </row>
    <row r="354" spans="1:5" x14ac:dyDescent="0.25">
      <c r="A354" t="s">
        <v>308</v>
      </c>
      <c r="B354" t="s">
        <v>34</v>
      </c>
      <c r="C354" s="2">
        <f>HYPERLINK("https://cao.dolgi.msk.ru/account/1050268421/", 1050268421)</f>
        <v>1050268421</v>
      </c>
      <c r="D354" s="4">
        <v>8318.77</v>
      </c>
      <c r="E354">
        <v>1.96</v>
      </c>
    </row>
    <row r="355" spans="1:5" x14ac:dyDescent="0.25">
      <c r="A355" t="s">
        <v>308</v>
      </c>
      <c r="B355" t="s">
        <v>36</v>
      </c>
      <c r="C355" s="2">
        <f>HYPERLINK("https://cao.dolgi.msk.ru/account/1050268472/", 1050268472)</f>
        <v>1050268472</v>
      </c>
      <c r="D355" s="4">
        <v>9036.2099999999991</v>
      </c>
      <c r="E355">
        <v>2.13</v>
      </c>
    </row>
    <row r="356" spans="1:5" x14ac:dyDescent="0.25">
      <c r="A356" t="s">
        <v>308</v>
      </c>
      <c r="B356" t="s">
        <v>56</v>
      </c>
      <c r="C356" s="2">
        <f>HYPERLINK("https://cao.dolgi.msk.ru/account/1050269029/", 1050269029)</f>
        <v>1050269029</v>
      </c>
      <c r="D356" s="4">
        <v>8364.19</v>
      </c>
      <c r="E356">
        <v>1.6</v>
      </c>
    </row>
    <row r="357" spans="1:5" x14ac:dyDescent="0.25">
      <c r="A357" t="s">
        <v>308</v>
      </c>
      <c r="B357" t="s">
        <v>57</v>
      </c>
      <c r="C357" s="2">
        <f>HYPERLINK("https://cao.dolgi.msk.ru/account/1050269045/", 1050269045)</f>
        <v>1050269045</v>
      </c>
      <c r="D357" s="4">
        <v>31739.4</v>
      </c>
      <c r="E357">
        <v>4</v>
      </c>
    </row>
    <row r="358" spans="1:5" x14ac:dyDescent="0.25">
      <c r="A358" t="s">
        <v>309</v>
      </c>
      <c r="B358" t="s">
        <v>201</v>
      </c>
      <c r="C358" s="2">
        <f>HYPERLINK("https://cao.dolgi.msk.ru/account/1050725725/", 1050725725)</f>
        <v>1050725725</v>
      </c>
      <c r="D358" s="4">
        <v>18585.169999999998</v>
      </c>
      <c r="E358">
        <v>1.64</v>
      </c>
    </row>
    <row r="359" spans="1:5" x14ac:dyDescent="0.25">
      <c r="A359" t="s">
        <v>309</v>
      </c>
      <c r="B359" t="s">
        <v>285</v>
      </c>
      <c r="C359" s="2">
        <f>HYPERLINK("https://cao.dolgi.msk.ru/account/1050726322/", 1050726322)</f>
        <v>1050726322</v>
      </c>
      <c r="D359" s="4">
        <v>20728.72</v>
      </c>
      <c r="E359">
        <v>2.3199999999999998</v>
      </c>
    </row>
    <row r="360" spans="1:5" x14ac:dyDescent="0.25">
      <c r="A360" t="s">
        <v>309</v>
      </c>
      <c r="B360" t="s">
        <v>287</v>
      </c>
      <c r="C360" s="2">
        <f>HYPERLINK("https://cao.dolgi.msk.ru/account/1056009332/", 1056009332)</f>
        <v>1056009332</v>
      </c>
      <c r="D360" s="4">
        <v>5870.74</v>
      </c>
      <c r="E360">
        <v>1.02</v>
      </c>
    </row>
    <row r="361" spans="1:5" x14ac:dyDescent="0.25">
      <c r="A361" t="s">
        <v>309</v>
      </c>
      <c r="B361" t="s">
        <v>288</v>
      </c>
      <c r="C361" s="2">
        <f>HYPERLINK("https://cao.dolgi.msk.ru/account/1050726402/", 1050726402)</f>
        <v>1050726402</v>
      </c>
      <c r="D361" s="4">
        <v>15752.16</v>
      </c>
      <c r="E361">
        <v>1.96</v>
      </c>
    </row>
    <row r="362" spans="1:5" x14ac:dyDescent="0.25">
      <c r="A362" t="s">
        <v>309</v>
      </c>
      <c r="B362" t="s">
        <v>289</v>
      </c>
      <c r="C362" s="2">
        <f>HYPERLINK("https://cao.dolgi.msk.ru/account/1050726437/", 1050726437)</f>
        <v>1050726437</v>
      </c>
      <c r="D362" s="4">
        <v>8810.09</v>
      </c>
      <c r="E362">
        <v>1.78</v>
      </c>
    </row>
    <row r="363" spans="1:5" x14ac:dyDescent="0.25">
      <c r="A363" t="s">
        <v>312</v>
      </c>
      <c r="B363" t="s">
        <v>37</v>
      </c>
      <c r="C363" s="2">
        <f>HYPERLINK("https://cao.dolgi.msk.ru/account/1050582904/", 1050582904)</f>
        <v>1050582904</v>
      </c>
      <c r="D363" s="4">
        <v>9648.7800000000007</v>
      </c>
      <c r="E363">
        <v>1.26</v>
      </c>
    </row>
    <row r="364" spans="1:5" x14ac:dyDescent="0.25">
      <c r="A364" t="s">
        <v>312</v>
      </c>
      <c r="B364" t="s">
        <v>38</v>
      </c>
      <c r="C364" s="2">
        <f>HYPERLINK("https://cao.dolgi.msk.ru/account/1050582939/", 1050582939)</f>
        <v>1050582939</v>
      </c>
      <c r="D364" s="4">
        <v>13666.72</v>
      </c>
      <c r="E364">
        <v>2</v>
      </c>
    </row>
    <row r="365" spans="1:5" x14ac:dyDescent="0.25">
      <c r="A365" t="s">
        <v>312</v>
      </c>
      <c r="B365" t="s">
        <v>47</v>
      </c>
      <c r="C365" s="2">
        <f>HYPERLINK("https://cao.dolgi.msk.ru/account/1050583106/", 1050583106)</f>
        <v>1050583106</v>
      </c>
      <c r="D365" s="4">
        <v>7921.53</v>
      </c>
      <c r="E365">
        <v>1.97</v>
      </c>
    </row>
    <row r="366" spans="1:5" x14ac:dyDescent="0.25">
      <c r="A366" t="s">
        <v>313</v>
      </c>
      <c r="B366" t="s">
        <v>54</v>
      </c>
      <c r="C366" s="2">
        <f>HYPERLINK("https://cao.dolgi.msk.ru/account/1050583288/", 1050583288)</f>
        <v>1050583288</v>
      </c>
      <c r="D366" s="4">
        <v>12148.46</v>
      </c>
      <c r="E366">
        <v>2</v>
      </c>
    </row>
    <row r="367" spans="1:5" x14ac:dyDescent="0.25">
      <c r="A367" t="s">
        <v>313</v>
      </c>
      <c r="B367" t="s">
        <v>55</v>
      </c>
      <c r="C367" s="2">
        <f>HYPERLINK("https://cao.dolgi.msk.ru/account/1050583296/", 1050583296)</f>
        <v>1050583296</v>
      </c>
      <c r="D367" s="4">
        <v>7750.21</v>
      </c>
      <c r="E367">
        <v>1.22</v>
      </c>
    </row>
    <row r="368" spans="1:5" x14ac:dyDescent="0.25">
      <c r="A368" t="s">
        <v>313</v>
      </c>
      <c r="B368" t="s">
        <v>67</v>
      </c>
      <c r="C368" s="2">
        <f>HYPERLINK("https://cao.dolgi.msk.ru/account/1050583464/", 1050583464)</f>
        <v>1050583464</v>
      </c>
      <c r="D368" s="4">
        <v>13752.11</v>
      </c>
      <c r="E368">
        <v>1.3</v>
      </c>
    </row>
    <row r="369" spans="1:5" x14ac:dyDescent="0.25">
      <c r="A369" t="s">
        <v>313</v>
      </c>
      <c r="B369" t="s">
        <v>70</v>
      </c>
      <c r="C369" s="2">
        <f>HYPERLINK("https://cao.dolgi.msk.ru/account/1050583501/", 1050583501)</f>
        <v>1050583501</v>
      </c>
      <c r="D369" s="4">
        <v>320017.77</v>
      </c>
      <c r="E369">
        <v>31.73</v>
      </c>
    </row>
    <row r="370" spans="1:5" x14ac:dyDescent="0.25">
      <c r="A370" t="s">
        <v>313</v>
      </c>
      <c r="B370" t="s">
        <v>89</v>
      </c>
      <c r="C370" s="2">
        <f>HYPERLINK("https://cao.dolgi.msk.ru/account/1050583712/", 1050583712)</f>
        <v>1050583712</v>
      </c>
      <c r="D370" s="4">
        <v>5341.84</v>
      </c>
      <c r="E370">
        <v>1.47</v>
      </c>
    </row>
    <row r="371" spans="1:5" x14ac:dyDescent="0.25">
      <c r="A371" t="s">
        <v>314</v>
      </c>
      <c r="B371" t="s">
        <v>315</v>
      </c>
      <c r="C371" s="2">
        <f>HYPERLINK("https://cao.dolgi.msk.ru/account/1050531648/", 1050531648)</f>
        <v>1050531648</v>
      </c>
      <c r="D371" s="4">
        <v>29525.84</v>
      </c>
      <c r="E371">
        <v>5.09</v>
      </c>
    </row>
    <row r="372" spans="1:5" x14ac:dyDescent="0.25">
      <c r="A372" t="s">
        <v>316</v>
      </c>
      <c r="B372" t="s">
        <v>31</v>
      </c>
      <c r="C372" s="2">
        <f>HYPERLINK("https://cao.dolgi.msk.ru/account/1050565143/", 1050565143)</f>
        <v>1050565143</v>
      </c>
      <c r="D372" s="4">
        <v>57093.84</v>
      </c>
      <c r="E372">
        <v>8.1</v>
      </c>
    </row>
    <row r="373" spans="1:5" x14ac:dyDescent="0.25">
      <c r="A373" t="s">
        <v>316</v>
      </c>
      <c r="B373" t="s">
        <v>32</v>
      </c>
      <c r="C373" s="2">
        <f>HYPERLINK("https://cao.dolgi.msk.ru/account/1050565178/", 1050565178)</f>
        <v>1050565178</v>
      </c>
      <c r="D373" s="4">
        <v>20324.77</v>
      </c>
      <c r="E373">
        <v>2.2200000000000002</v>
      </c>
    </row>
    <row r="374" spans="1:5" x14ac:dyDescent="0.25">
      <c r="A374" t="s">
        <v>317</v>
      </c>
      <c r="B374" t="s">
        <v>35</v>
      </c>
      <c r="C374" s="2">
        <f>HYPERLINK("https://cao.dolgi.msk.ru/account/1050289898/", 1050289898)</f>
        <v>1050289898</v>
      </c>
      <c r="D374" s="4">
        <v>8386.81</v>
      </c>
      <c r="E374">
        <v>1.1100000000000001</v>
      </c>
    </row>
    <row r="375" spans="1:5" x14ac:dyDescent="0.25">
      <c r="A375" t="s">
        <v>317</v>
      </c>
      <c r="B375" t="s">
        <v>45</v>
      </c>
      <c r="C375" s="2">
        <f>HYPERLINK("https://cao.dolgi.msk.ru/account/1050290186/", 1050290186)</f>
        <v>1050290186</v>
      </c>
      <c r="D375" s="4">
        <v>14004.37</v>
      </c>
      <c r="E375">
        <v>1.99</v>
      </c>
    </row>
    <row r="376" spans="1:5" x14ac:dyDescent="0.25">
      <c r="A376" t="s">
        <v>317</v>
      </c>
      <c r="B376" t="s">
        <v>59</v>
      </c>
      <c r="C376" s="2">
        <f>HYPERLINK("https://cao.dolgi.msk.ru/account/1058025379/", 1058025379)</f>
        <v>1058025379</v>
      </c>
      <c r="D376" s="4">
        <v>25830.959999999999</v>
      </c>
      <c r="E376">
        <v>2.75</v>
      </c>
    </row>
    <row r="377" spans="1:5" x14ac:dyDescent="0.25">
      <c r="A377" t="s">
        <v>317</v>
      </c>
      <c r="B377" t="s">
        <v>61</v>
      </c>
      <c r="C377" s="2">
        <f>HYPERLINK("https://cao.dolgi.msk.ru/account/1050290661/", 1050290661)</f>
        <v>1050290661</v>
      </c>
      <c r="D377" s="4">
        <v>22265.62</v>
      </c>
      <c r="E377">
        <v>3.68</v>
      </c>
    </row>
    <row r="378" spans="1:5" x14ac:dyDescent="0.25">
      <c r="A378" t="s">
        <v>317</v>
      </c>
      <c r="B378" t="s">
        <v>62</v>
      </c>
      <c r="C378" s="2">
        <f>HYPERLINK("https://cao.dolgi.msk.ru/account/1050290696/", 1050290696)</f>
        <v>1050290696</v>
      </c>
      <c r="D378" s="4">
        <v>18531.990000000002</v>
      </c>
      <c r="E378">
        <v>1.78</v>
      </c>
    </row>
    <row r="379" spans="1:5" x14ac:dyDescent="0.25">
      <c r="A379" t="s">
        <v>317</v>
      </c>
      <c r="B379" t="s">
        <v>107</v>
      </c>
      <c r="C379" s="2">
        <f>HYPERLINK("https://cao.dolgi.msk.ru/account/1050291672/", 1050291672)</f>
        <v>1050291672</v>
      </c>
      <c r="D379" s="4">
        <v>26450.18</v>
      </c>
      <c r="E379">
        <v>3.97</v>
      </c>
    </row>
    <row r="380" spans="1:5" x14ac:dyDescent="0.25">
      <c r="A380" t="s">
        <v>317</v>
      </c>
      <c r="B380" t="s">
        <v>112</v>
      </c>
      <c r="C380" s="2">
        <f>HYPERLINK("https://cao.dolgi.msk.ru/account/1050291808/", 1050291808)</f>
        <v>1050291808</v>
      </c>
      <c r="D380" s="4">
        <v>196907.79</v>
      </c>
      <c r="E380">
        <v>15.02</v>
      </c>
    </row>
    <row r="381" spans="1:5" x14ac:dyDescent="0.25">
      <c r="A381" t="s">
        <v>317</v>
      </c>
      <c r="B381" t="s">
        <v>129</v>
      </c>
      <c r="C381" s="2">
        <f>HYPERLINK("https://cao.dolgi.msk.ru/account/1050292296/", 1050292296)</f>
        <v>1050292296</v>
      </c>
      <c r="D381" s="4">
        <v>25205.97</v>
      </c>
      <c r="E381">
        <v>3.84</v>
      </c>
    </row>
    <row r="382" spans="1:5" x14ac:dyDescent="0.25">
      <c r="A382" t="s">
        <v>318</v>
      </c>
      <c r="B382" t="s">
        <v>22</v>
      </c>
      <c r="C382" s="2">
        <f>HYPERLINK("https://cao.dolgi.msk.ru/account/1050333342/", 1050333342)</f>
        <v>1050333342</v>
      </c>
      <c r="D382" s="4">
        <v>25365.35</v>
      </c>
      <c r="E382">
        <v>3.61</v>
      </c>
    </row>
    <row r="383" spans="1:5" x14ac:dyDescent="0.25">
      <c r="A383" t="s">
        <v>318</v>
      </c>
      <c r="B383" t="s">
        <v>23</v>
      </c>
      <c r="C383" s="2">
        <f>HYPERLINK("https://cao.dolgi.msk.ru/account/1050333377/", 1050333377)</f>
        <v>1050333377</v>
      </c>
      <c r="D383" s="4">
        <v>306251.78999999998</v>
      </c>
      <c r="E383">
        <v>33.81</v>
      </c>
    </row>
    <row r="384" spans="1:5" x14ac:dyDescent="0.25">
      <c r="A384" t="s">
        <v>319</v>
      </c>
      <c r="B384" t="s">
        <v>12</v>
      </c>
      <c r="C384" s="2">
        <f>HYPERLINK("https://cao.dolgi.msk.ru/account/1050277782/", 1050277782)</f>
        <v>1050277782</v>
      </c>
      <c r="D384" s="4">
        <v>28604.85</v>
      </c>
      <c r="E384">
        <v>5.21</v>
      </c>
    </row>
    <row r="385" spans="1:5" x14ac:dyDescent="0.25">
      <c r="A385" t="s">
        <v>319</v>
      </c>
      <c r="B385" t="s">
        <v>27</v>
      </c>
      <c r="C385" s="2">
        <f>HYPERLINK("https://cao.dolgi.msk.ru/account/1050278101/", 1050278101)</f>
        <v>1050278101</v>
      </c>
      <c r="D385" s="4">
        <v>15929.65</v>
      </c>
      <c r="E385">
        <v>2.98</v>
      </c>
    </row>
    <row r="386" spans="1:5" x14ac:dyDescent="0.25">
      <c r="A386" t="s">
        <v>319</v>
      </c>
      <c r="B386" t="s">
        <v>35</v>
      </c>
      <c r="C386" s="2">
        <f>HYPERLINK("https://cao.dolgi.msk.ru/account/1050278275/", 1050278275)</f>
        <v>1050278275</v>
      </c>
      <c r="D386" s="4">
        <v>10590.68</v>
      </c>
      <c r="E386">
        <v>1.79</v>
      </c>
    </row>
    <row r="387" spans="1:5" x14ac:dyDescent="0.25">
      <c r="A387" t="s">
        <v>319</v>
      </c>
      <c r="B387" t="s">
        <v>50</v>
      </c>
      <c r="C387" s="2">
        <f>HYPERLINK("https://cao.dolgi.msk.ru/account/1050278611/", 1050278611)</f>
        <v>1050278611</v>
      </c>
      <c r="D387" s="4">
        <v>700580.06</v>
      </c>
      <c r="E387">
        <v>29.27</v>
      </c>
    </row>
    <row r="388" spans="1:5" x14ac:dyDescent="0.25">
      <c r="A388" t="s">
        <v>319</v>
      </c>
      <c r="B388" t="s">
        <v>102</v>
      </c>
      <c r="C388" s="2">
        <f>HYPERLINK("https://cao.dolgi.msk.ru/account/1050279227/", 1050279227)</f>
        <v>1050279227</v>
      </c>
      <c r="D388" s="4">
        <v>12330.58</v>
      </c>
      <c r="E388">
        <v>1.84</v>
      </c>
    </row>
    <row r="389" spans="1:5" x14ac:dyDescent="0.25">
      <c r="A389" t="s">
        <v>320</v>
      </c>
      <c r="B389" t="s">
        <v>9</v>
      </c>
      <c r="C389" s="2">
        <f>HYPERLINK("https://cao.dolgi.msk.ru/account/1050282469/", 1050282469)</f>
        <v>1050282469</v>
      </c>
      <c r="D389" s="4">
        <v>17737.650000000001</v>
      </c>
      <c r="E389">
        <v>1.96</v>
      </c>
    </row>
    <row r="390" spans="1:5" x14ac:dyDescent="0.25">
      <c r="A390" t="s">
        <v>321</v>
      </c>
      <c r="B390" t="s">
        <v>23</v>
      </c>
      <c r="C390" s="2">
        <f>HYPERLINK("https://cao.dolgi.msk.ru/account/1050264826/", 1050264826)</f>
        <v>1050264826</v>
      </c>
      <c r="D390" s="4">
        <v>17403.919999999998</v>
      </c>
      <c r="E390">
        <v>1.92</v>
      </c>
    </row>
    <row r="391" spans="1:5" x14ac:dyDescent="0.25">
      <c r="A391" t="s">
        <v>321</v>
      </c>
      <c r="B391" t="s">
        <v>42</v>
      </c>
      <c r="C391" s="2">
        <f>HYPERLINK("https://cao.dolgi.msk.ru/account/1050265052/", 1050265052)</f>
        <v>1050265052</v>
      </c>
      <c r="D391" s="4">
        <v>33005.43</v>
      </c>
      <c r="E391">
        <v>3.53</v>
      </c>
    </row>
    <row r="392" spans="1:5" x14ac:dyDescent="0.25">
      <c r="A392" t="s">
        <v>321</v>
      </c>
      <c r="B392" t="s">
        <v>132</v>
      </c>
      <c r="C392" s="2">
        <f>HYPERLINK("https://cao.dolgi.msk.ru/account/1058025467/", 1058025467)</f>
        <v>1058025467</v>
      </c>
      <c r="D392" s="4">
        <v>12722.4</v>
      </c>
      <c r="E392">
        <v>1.33</v>
      </c>
    </row>
    <row r="393" spans="1:5" x14ac:dyDescent="0.25">
      <c r="A393" t="s">
        <v>321</v>
      </c>
      <c r="B393" t="s">
        <v>144</v>
      </c>
      <c r="C393" s="2">
        <f>HYPERLINK("https://cao.dolgi.msk.ru/account/1050266274/", 1050266274)</f>
        <v>1050266274</v>
      </c>
      <c r="D393" s="4">
        <v>16071.89</v>
      </c>
      <c r="E393">
        <v>1.44</v>
      </c>
    </row>
    <row r="394" spans="1:5" x14ac:dyDescent="0.25">
      <c r="A394" t="s">
        <v>321</v>
      </c>
      <c r="B394" t="s">
        <v>147</v>
      </c>
      <c r="C394" s="2">
        <f>HYPERLINK("https://cao.dolgi.msk.ru/account/1050266311/", 1050266311)</f>
        <v>1050266311</v>
      </c>
      <c r="D394" s="4">
        <v>42773.760000000002</v>
      </c>
      <c r="E394">
        <v>6.14</v>
      </c>
    </row>
    <row r="395" spans="1:5" x14ac:dyDescent="0.25">
      <c r="A395" t="s">
        <v>321</v>
      </c>
      <c r="B395" t="s">
        <v>150</v>
      </c>
      <c r="C395" s="2">
        <f>HYPERLINK("https://cao.dolgi.msk.ru/account/1050266354/", 1050266354)</f>
        <v>1050266354</v>
      </c>
      <c r="D395" s="4">
        <v>8441.98</v>
      </c>
      <c r="E395">
        <v>1.02</v>
      </c>
    </row>
    <row r="396" spans="1:5" x14ac:dyDescent="0.25">
      <c r="A396" t="s">
        <v>322</v>
      </c>
      <c r="B396" t="s">
        <v>23</v>
      </c>
      <c r="C396" s="2">
        <f>HYPERLINK("https://cao.dolgi.msk.ru/account/1050272295/", 1050272295)</f>
        <v>1050272295</v>
      </c>
      <c r="D396" s="4">
        <v>12026.68</v>
      </c>
      <c r="E396">
        <v>1.01</v>
      </c>
    </row>
    <row r="397" spans="1:5" x14ac:dyDescent="0.25">
      <c r="A397" t="s">
        <v>323</v>
      </c>
      <c r="B397" t="s">
        <v>71</v>
      </c>
      <c r="C397" s="2">
        <f>HYPERLINK("https://cao.dolgi.msk.ru/account/1050272797/", 1050272797)</f>
        <v>1050272797</v>
      </c>
      <c r="D397" s="4">
        <v>5779.35</v>
      </c>
      <c r="E397">
        <v>1.02</v>
      </c>
    </row>
    <row r="398" spans="1:5" x14ac:dyDescent="0.25">
      <c r="A398" t="s">
        <v>324</v>
      </c>
      <c r="B398" t="s">
        <v>14</v>
      </c>
      <c r="C398" s="2">
        <f>HYPERLINK("https://cao.dolgi.msk.ru/account/1056016735/", 1056016735)</f>
        <v>1056016735</v>
      </c>
      <c r="D398" s="4">
        <v>13230.06</v>
      </c>
      <c r="E398">
        <v>1.99</v>
      </c>
    </row>
    <row r="399" spans="1:5" x14ac:dyDescent="0.25">
      <c r="A399" t="s">
        <v>324</v>
      </c>
      <c r="B399" t="s">
        <v>16</v>
      </c>
      <c r="C399" s="2">
        <f>HYPERLINK("https://cao.dolgi.msk.ru/account/1056016751/", 1056016751)</f>
        <v>1056016751</v>
      </c>
      <c r="D399" s="4">
        <v>10739.8</v>
      </c>
      <c r="E399">
        <v>1.31</v>
      </c>
    </row>
    <row r="400" spans="1:5" x14ac:dyDescent="0.25">
      <c r="A400" t="s">
        <v>324</v>
      </c>
      <c r="B400" t="s">
        <v>17</v>
      </c>
      <c r="C400" s="2">
        <f>HYPERLINK("https://cao.dolgi.msk.ru/account/1056022959/", 1056022959)</f>
        <v>1056022959</v>
      </c>
      <c r="D400" s="4">
        <v>18249.22</v>
      </c>
      <c r="E400">
        <v>2.02</v>
      </c>
    </row>
    <row r="401" spans="1:5" x14ac:dyDescent="0.25">
      <c r="A401" t="s">
        <v>324</v>
      </c>
      <c r="B401" t="s">
        <v>22</v>
      </c>
      <c r="C401" s="2">
        <f>HYPERLINK("https://cao.dolgi.msk.ru/account/1056016831/", 1056016831)</f>
        <v>1056016831</v>
      </c>
      <c r="D401" s="4">
        <v>9212.4599999999991</v>
      </c>
      <c r="E401">
        <v>2.0299999999999998</v>
      </c>
    </row>
    <row r="402" spans="1:5" x14ac:dyDescent="0.25">
      <c r="A402" t="s">
        <v>325</v>
      </c>
      <c r="B402" t="s">
        <v>16</v>
      </c>
      <c r="C402" s="2">
        <f>HYPERLINK("https://cao.dolgi.msk.ru/account/1058009125/", 1058009125)</f>
        <v>1058009125</v>
      </c>
      <c r="D402" s="4">
        <v>6617.99</v>
      </c>
      <c r="E402">
        <v>1.02</v>
      </c>
    </row>
    <row r="403" spans="1:5" x14ac:dyDescent="0.25">
      <c r="A403" t="s">
        <v>325</v>
      </c>
      <c r="B403" t="s">
        <v>26</v>
      </c>
      <c r="C403" s="2">
        <f>HYPERLINK("https://cao.dolgi.msk.ru/account/1050317051/", 1050317051)</f>
        <v>1050317051</v>
      </c>
      <c r="D403" s="4">
        <v>10370.91</v>
      </c>
      <c r="E403">
        <v>1.87</v>
      </c>
    </row>
    <row r="404" spans="1:5" x14ac:dyDescent="0.25">
      <c r="A404" t="s">
        <v>325</v>
      </c>
      <c r="B404" t="s">
        <v>55</v>
      </c>
      <c r="C404" s="2">
        <f>HYPERLINK("https://cao.dolgi.msk.ru/account/1050317449/", 1050317449)</f>
        <v>1050317449</v>
      </c>
      <c r="D404" s="4">
        <v>16969.37</v>
      </c>
      <c r="E404">
        <v>2</v>
      </c>
    </row>
    <row r="405" spans="1:5" x14ac:dyDescent="0.25">
      <c r="A405" t="s">
        <v>326</v>
      </c>
      <c r="B405" t="s">
        <v>7</v>
      </c>
      <c r="C405" s="2">
        <f>HYPERLINK("https://cao.dolgi.msk.ru/account/1050388204/", 1050388204)</f>
        <v>1050388204</v>
      </c>
      <c r="D405" s="4">
        <v>7901.24</v>
      </c>
      <c r="E405">
        <v>1.01</v>
      </c>
    </row>
    <row r="406" spans="1:5" x14ac:dyDescent="0.25">
      <c r="A406" t="s">
        <v>326</v>
      </c>
      <c r="B406" t="s">
        <v>31</v>
      </c>
      <c r="C406" s="2">
        <f>HYPERLINK("https://cao.dolgi.msk.ru/account/1050388589/", 1050388589)</f>
        <v>1050388589</v>
      </c>
      <c r="D406" s="4">
        <v>28029.09</v>
      </c>
      <c r="E406">
        <v>4.17</v>
      </c>
    </row>
    <row r="407" spans="1:5" x14ac:dyDescent="0.25">
      <c r="A407" t="s">
        <v>326</v>
      </c>
      <c r="B407" t="s">
        <v>32</v>
      </c>
      <c r="C407" s="2">
        <f>HYPERLINK("https://cao.dolgi.msk.ru/account/1050388597/", 1050388597)</f>
        <v>1050388597</v>
      </c>
      <c r="D407" s="4">
        <v>109926.39999999999</v>
      </c>
      <c r="E407">
        <v>5.18</v>
      </c>
    </row>
    <row r="408" spans="1:5" x14ac:dyDescent="0.25">
      <c r="A408" t="s">
        <v>326</v>
      </c>
      <c r="B408" t="s">
        <v>36</v>
      </c>
      <c r="C408" s="2">
        <f>HYPERLINK("https://cao.dolgi.msk.ru/account/1050388642/", 1050388642)</f>
        <v>1050388642</v>
      </c>
      <c r="D408" s="4">
        <v>18663.96</v>
      </c>
      <c r="E408">
        <v>1.95</v>
      </c>
    </row>
    <row r="409" spans="1:5" x14ac:dyDescent="0.25">
      <c r="A409" t="s">
        <v>326</v>
      </c>
      <c r="B409" t="s">
        <v>45</v>
      </c>
      <c r="C409" s="2">
        <f>HYPERLINK("https://cao.dolgi.msk.ru/account/1050388757/", 1050388757)</f>
        <v>1050388757</v>
      </c>
      <c r="D409" s="4">
        <v>98499.29</v>
      </c>
      <c r="E409">
        <v>12.11</v>
      </c>
    </row>
    <row r="410" spans="1:5" x14ac:dyDescent="0.25">
      <c r="A410" t="s">
        <v>326</v>
      </c>
      <c r="B410" t="s">
        <v>47</v>
      </c>
      <c r="C410" s="2">
        <f>HYPERLINK("https://cao.dolgi.msk.ru/account/1050388773/", 1050388773)</f>
        <v>1050388773</v>
      </c>
      <c r="D410" s="4">
        <v>52156.55</v>
      </c>
      <c r="E410">
        <v>4.88</v>
      </c>
    </row>
    <row r="411" spans="1:5" x14ac:dyDescent="0.25">
      <c r="A411" t="s">
        <v>326</v>
      </c>
      <c r="B411" t="s">
        <v>94</v>
      </c>
      <c r="C411" s="2">
        <f>HYPERLINK("https://cao.dolgi.msk.ru/account/1050388781/", 1050388781)</f>
        <v>1050388781</v>
      </c>
      <c r="D411" s="4">
        <v>23156.15</v>
      </c>
      <c r="E411">
        <v>2</v>
      </c>
    </row>
    <row r="412" spans="1:5" x14ac:dyDescent="0.25">
      <c r="A412" t="s">
        <v>326</v>
      </c>
      <c r="B412" t="s">
        <v>62</v>
      </c>
      <c r="C412" s="2">
        <f>HYPERLINK("https://cao.dolgi.msk.ru/account/1050389012/", 1050389012)</f>
        <v>1050389012</v>
      </c>
      <c r="D412" s="4">
        <v>10823.42</v>
      </c>
      <c r="E412">
        <v>1.01</v>
      </c>
    </row>
    <row r="413" spans="1:5" x14ac:dyDescent="0.25">
      <c r="A413" t="s">
        <v>326</v>
      </c>
      <c r="B413" t="s">
        <v>90</v>
      </c>
      <c r="C413" s="2">
        <f>HYPERLINK("https://cao.dolgi.msk.ru/account/1050389565/", 1050389565)</f>
        <v>1050389565</v>
      </c>
      <c r="D413" s="4">
        <v>16839.150000000001</v>
      </c>
      <c r="E413">
        <v>1.6</v>
      </c>
    </row>
    <row r="414" spans="1:5" x14ac:dyDescent="0.25">
      <c r="A414" t="s">
        <v>326</v>
      </c>
      <c r="B414" t="s">
        <v>111</v>
      </c>
      <c r="C414" s="2">
        <f>HYPERLINK("https://cao.dolgi.msk.ru/account/1058131008/", 1058131008)</f>
        <v>1058131008</v>
      </c>
      <c r="D414" s="4">
        <v>22548.880000000001</v>
      </c>
      <c r="E414">
        <v>3.12</v>
      </c>
    </row>
    <row r="415" spans="1:5" x14ac:dyDescent="0.25">
      <c r="A415" t="s">
        <v>326</v>
      </c>
      <c r="B415" t="s">
        <v>124</v>
      </c>
      <c r="C415" s="2">
        <f>HYPERLINK("https://cao.dolgi.msk.ru/account/1050390136/", 1050390136)</f>
        <v>1050390136</v>
      </c>
      <c r="D415" s="4">
        <v>8653.1</v>
      </c>
      <c r="E415">
        <v>1.05</v>
      </c>
    </row>
    <row r="416" spans="1:5" x14ac:dyDescent="0.25">
      <c r="A416" t="s">
        <v>326</v>
      </c>
      <c r="B416" t="s">
        <v>129</v>
      </c>
      <c r="C416" s="2">
        <f>HYPERLINK("https://cao.dolgi.msk.ru/account/1050390195/", 1050390195)</f>
        <v>1050390195</v>
      </c>
      <c r="D416" s="4">
        <v>56377.52</v>
      </c>
      <c r="E416">
        <v>9.89</v>
      </c>
    </row>
    <row r="417" spans="1:5" x14ac:dyDescent="0.25">
      <c r="A417" t="s">
        <v>326</v>
      </c>
      <c r="B417" t="s">
        <v>140</v>
      </c>
      <c r="C417" s="2">
        <f>HYPERLINK("https://cao.dolgi.msk.ru/account/1050390347/", 1050390347)</f>
        <v>1050390347</v>
      </c>
      <c r="D417" s="4">
        <v>11838.82</v>
      </c>
      <c r="E417">
        <v>1.82</v>
      </c>
    </row>
    <row r="418" spans="1:5" x14ac:dyDescent="0.25">
      <c r="A418" t="s">
        <v>326</v>
      </c>
      <c r="B418" t="s">
        <v>142</v>
      </c>
      <c r="C418" s="2">
        <f>HYPERLINK("https://cao.dolgi.msk.ru/account/1050390398/", 1050390398)</f>
        <v>1050390398</v>
      </c>
      <c r="D418" s="4">
        <v>24673.41</v>
      </c>
      <c r="E418">
        <v>2.0099999999999998</v>
      </c>
    </row>
    <row r="419" spans="1:5" x14ac:dyDescent="0.25">
      <c r="A419" t="s">
        <v>326</v>
      </c>
      <c r="B419" t="s">
        <v>157</v>
      </c>
      <c r="C419" s="2">
        <f>HYPERLINK("https://cao.dolgi.msk.ru/account/1050390734/", 1050390734)</f>
        <v>1050390734</v>
      </c>
      <c r="D419" s="4">
        <v>24895.53</v>
      </c>
      <c r="E419">
        <v>2.97</v>
      </c>
    </row>
    <row r="420" spans="1:5" x14ac:dyDescent="0.25">
      <c r="A420" t="s">
        <v>326</v>
      </c>
      <c r="B420" t="s">
        <v>160</v>
      </c>
      <c r="C420" s="2">
        <f>HYPERLINK("https://cao.dolgi.msk.ru/account/1050390793/", 1050390793)</f>
        <v>1050390793</v>
      </c>
      <c r="D420" s="4">
        <v>15340.43</v>
      </c>
      <c r="E420">
        <v>1.66</v>
      </c>
    </row>
    <row r="421" spans="1:5" x14ac:dyDescent="0.25">
      <c r="A421" t="s">
        <v>326</v>
      </c>
      <c r="B421" t="s">
        <v>171</v>
      </c>
      <c r="C421" s="2">
        <f>HYPERLINK("https://cao.dolgi.msk.ru/account/1050391059/", 1050391059)</f>
        <v>1050391059</v>
      </c>
      <c r="D421" s="4">
        <v>38776.75</v>
      </c>
      <c r="E421">
        <v>2.78</v>
      </c>
    </row>
    <row r="422" spans="1:5" x14ac:dyDescent="0.25">
      <c r="A422" t="s">
        <v>326</v>
      </c>
      <c r="B422" t="s">
        <v>188</v>
      </c>
      <c r="C422" s="2">
        <f>HYPERLINK("https://cao.dolgi.msk.ru/account/1050391403/", 1050391403)</f>
        <v>1050391403</v>
      </c>
      <c r="D422" s="4">
        <v>17481.14</v>
      </c>
      <c r="E422">
        <v>1.98</v>
      </c>
    </row>
    <row r="423" spans="1:5" x14ac:dyDescent="0.25">
      <c r="A423" t="s">
        <v>326</v>
      </c>
      <c r="B423" t="s">
        <v>192</v>
      </c>
      <c r="C423" s="2">
        <f>HYPERLINK("https://cao.dolgi.msk.ru/account/1050391497/", 1050391497)</f>
        <v>1050391497</v>
      </c>
      <c r="D423" s="4">
        <v>21168.799999999999</v>
      </c>
      <c r="E423">
        <v>2</v>
      </c>
    </row>
    <row r="424" spans="1:5" x14ac:dyDescent="0.25">
      <c r="A424" t="s">
        <v>326</v>
      </c>
      <c r="B424" t="s">
        <v>195</v>
      </c>
      <c r="C424" s="2">
        <f>HYPERLINK("https://cao.dolgi.msk.ru/account/1050391526/", 1050391526)</f>
        <v>1050391526</v>
      </c>
      <c r="D424" s="4">
        <v>20041.47</v>
      </c>
      <c r="E424">
        <v>1.94</v>
      </c>
    </row>
    <row r="425" spans="1:5" x14ac:dyDescent="0.25">
      <c r="A425" t="s">
        <v>326</v>
      </c>
      <c r="B425" t="s">
        <v>196</v>
      </c>
      <c r="C425" s="2">
        <f>HYPERLINK("https://cao.dolgi.msk.ru/account/1050391606/", 1050391606)</f>
        <v>1050391606</v>
      </c>
      <c r="D425" s="4">
        <v>16537.400000000001</v>
      </c>
      <c r="E425">
        <v>1.77</v>
      </c>
    </row>
    <row r="426" spans="1:5" x14ac:dyDescent="0.25">
      <c r="A426" t="s">
        <v>326</v>
      </c>
      <c r="B426" t="s">
        <v>200</v>
      </c>
      <c r="C426" s="2">
        <f>HYPERLINK("https://cao.dolgi.msk.ru/account/1050391745/", 1050391745)</f>
        <v>1050391745</v>
      </c>
      <c r="D426" s="4">
        <v>33497.82</v>
      </c>
      <c r="E426">
        <v>1.97</v>
      </c>
    </row>
    <row r="427" spans="1:5" x14ac:dyDescent="0.25">
      <c r="A427" t="s">
        <v>327</v>
      </c>
      <c r="B427" t="s">
        <v>18</v>
      </c>
      <c r="C427" s="2">
        <f>HYPERLINK("https://cao.dolgi.msk.ru/account/1050273394/", 1050273394)</f>
        <v>1050273394</v>
      </c>
      <c r="D427" s="4">
        <v>18011.64</v>
      </c>
      <c r="E427">
        <v>2.57</v>
      </c>
    </row>
    <row r="428" spans="1:5" x14ac:dyDescent="0.25">
      <c r="A428" t="s">
        <v>327</v>
      </c>
      <c r="B428" t="s">
        <v>20</v>
      </c>
      <c r="C428" s="2">
        <f>HYPERLINK("https://cao.dolgi.msk.ru/account/1050273423/", 1050273423)</f>
        <v>1050273423</v>
      </c>
      <c r="D428" s="4">
        <v>30182.38</v>
      </c>
      <c r="E428">
        <v>5.73</v>
      </c>
    </row>
    <row r="429" spans="1:5" x14ac:dyDescent="0.25">
      <c r="A429" t="s">
        <v>327</v>
      </c>
      <c r="B429" t="s">
        <v>26</v>
      </c>
      <c r="C429" s="2">
        <f>HYPERLINK("https://cao.dolgi.msk.ru/account/1050273482/", 1050273482)</f>
        <v>1050273482</v>
      </c>
      <c r="D429" s="4">
        <v>90756.66</v>
      </c>
      <c r="E429">
        <v>14.24</v>
      </c>
    </row>
    <row r="430" spans="1:5" x14ac:dyDescent="0.25">
      <c r="A430" t="s">
        <v>328</v>
      </c>
      <c r="B430" t="s">
        <v>11</v>
      </c>
      <c r="C430" s="2">
        <f>HYPERLINK("https://cao.dolgi.msk.ru/account/1050276464/", 1050276464)</f>
        <v>1050276464</v>
      </c>
      <c r="D430" s="4">
        <v>31163.63</v>
      </c>
      <c r="E430">
        <v>8.42</v>
      </c>
    </row>
    <row r="431" spans="1:5" x14ac:dyDescent="0.25">
      <c r="A431" t="s">
        <v>328</v>
      </c>
      <c r="B431" t="s">
        <v>93</v>
      </c>
      <c r="C431" s="2">
        <f>HYPERLINK("https://cao.dolgi.msk.ru/account/1050276616/", 1050276616)</f>
        <v>1050276616</v>
      </c>
      <c r="D431" s="4">
        <v>191239.03</v>
      </c>
      <c r="E431">
        <v>26.43</v>
      </c>
    </row>
    <row r="432" spans="1:5" x14ac:dyDescent="0.25">
      <c r="A432" t="s">
        <v>328</v>
      </c>
      <c r="B432" t="s">
        <v>94</v>
      </c>
      <c r="C432" s="2">
        <f>HYPERLINK("https://cao.dolgi.msk.ru/account/1050277141/", 1050277141)</f>
        <v>1050277141</v>
      </c>
      <c r="D432" s="4">
        <v>5228.8100000000004</v>
      </c>
      <c r="E432">
        <v>4.93</v>
      </c>
    </row>
    <row r="433" spans="1:5" x14ac:dyDescent="0.25">
      <c r="A433" t="s">
        <v>329</v>
      </c>
      <c r="B433" t="s">
        <v>94</v>
      </c>
      <c r="C433" s="2">
        <f>HYPERLINK("https://cao.dolgi.msk.ru/account/1050274397/", 1050274397)</f>
        <v>1050274397</v>
      </c>
      <c r="D433" s="4">
        <v>9491.9599999999991</v>
      </c>
      <c r="E433">
        <v>2.0299999999999998</v>
      </c>
    </row>
    <row r="434" spans="1:5" x14ac:dyDescent="0.25">
      <c r="A434" t="s">
        <v>329</v>
      </c>
      <c r="B434" t="s">
        <v>51</v>
      </c>
      <c r="C434" s="2">
        <f>HYPERLINK("https://cao.dolgi.msk.ru/account/1050274485/", 1050274485)</f>
        <v>1050274485</v>
      </c>
      <c r="D434" s="4">
        <v>16788.25</v>
      </c>
      <c r="E434">
        <v>2.97</v>
      </c>
    </row>
    <row r="435" spans="1:5" x14ac:dyDescent="0.25">
      <c r="A435" t="s">
        <v>329</v>
      </c>
      <c r="B435" t="s">
        <v>61</v>
      </c>
      <c r="C435" s="2">
        <f>HYPERLINK("https://cao.dolgi.msk.ru/account/1050274629/", 1050274629)</f>
        <v>1050274629</v>
      </c>
      <c r="D435" s="4">
        <v>6481.21</v>
      </c>
      <c r="E435">
        <v>1.77</v>
      </c>
    </row>
    <row r="436" spans="1:5" x14ac:dyDescent="0.25">
      <c r="A436" t="s">
        <v>329</v>
      </c>
      <c r="B436" t="s">
        <v>71</v>
      </c>
      <c r="C436" s="2">
        <f>HYPERLINK("https://cao.dolgi.msk.ru/account/1050274768/", 1050274768)</f>
        <v>1050274768</v>
      </c>
      <c r="D436" s="4">
        <v>9039</v>
      </c>
      <c r="E436">
        <v>1.58</v>
      </c>
    </row>
    <row r="437" spans="1:5" x14ac:dyDescent="0.25">
      <c r="A437" t="s">
        <v>329</v>
      </c>
      <c r="B437" t="s">
        <v>76</v>
      </c>
      <c r="C437" s="2">
        <f>HYPERLINK("https://cao.dolgi.msk.ru/account/1050274821/", 1050274821)</f>
        <v>1050274821</v>
      </c>
      <c r="D437" s="4">
        <v>7835.12</v>
      </c>
      <c r="E437">
        <v>1.69</v>
      </c>
    </row>
    <row r="438" spans="1:5" x14ac:dyDescent="0.25">
      <c r="A438" t="s">
        <v>329</v>
      </c>
      <c r="B438" t="s">
        <v>124</v>
      </c>
      <c r="C438" s="2">
        <f>HYPERLINK("https://cao.dolgi.msk.ru/account/1050275437/", 1050275437)</f>
        <v>1050275437</v>
      </c>
      <c r="D438" s="4">
        <v>15725.01</v>
      </c>
      <c r="E438">
        <v>3.2</v>
      </c>
    </row>
    <row r="439" spans="1:5" x14ac:dyDescent="0.25">
      <c r="A439" t="s">
        <v>329</v>
      </c>
      <c r="B439" t="s">
        <v>132</v>
      </c>
      <c r="C439" s="2">
        <f>HYPERLINK("https://cao.dolgi.msk.ru/account/1050275525/", 1050275525)</f>
        <v>1050275525</v>
      </c>
      <c r="D439" s="4">
        <v>25852.39</v>
      </c>
      <c r="E439">
        <v>3.74</v>
      </c>
    </row>
    <row r="440" spans="1:5" x14ac:dyDescent="0.25">
      <c r="A440" t="s">
        <v>329</v>
      </c>
      <c r="B440" t="s">
        <v>144</v>
      </c>
      <c r="C440" s="2">
        <f>HYPERLINK("https://cao.dolgi.msk.ru/account/1050275648/", 1050275648)</f>
        <v>1050275648</v>
      </c>
      <c r="D440" s="4">
        <v>9542.5400000000009</v>
      </c>
      <c r="E440">
        <v>1.01</v>
      </c>
    </row>
    <row r="441" spans="1:5" x14ac:dyDescent="0.25">
      <c r="A441" t="s">
        <v>330</v>
      </c>
      <c r="B441" t="s">
        <v>22</v>
      </c>
      <c r="C441" s="2">
        <f>HYPERLINK("https://cao.dolgi.msk.ru/account/1050286742/", 1050286742)</f>
        <v>1050286742</v>
      </c>
      <c r="D441" s="4">
        <v>21071.47</v>
      </c>
      <c r="E441">
        <v>2.21</v>
      </c>
    </row>
    <row r="442" spans="1:5" x14ac:dyDescent="0.25">
      <c r="A442" t="s">
        <v>330</v>
      </c>
      <c r="B442" t="s">
        <v>24</v>
      </c>
      <c r="C442" s="2">
        <f>HYPERLINK("https://cao.dolgi.msk.ru/account/1058149443/", 1058149443)</f>
        <v>1058149443</v>
      </c>
      <c r="D442" s="4">
        <v>7621.52</v>
      </c>
      <c r="E442">
        <v>1.17</v>
      </c>
    </row>
    <row r="443" spans="1:5" x14ac:dyDescent="0.25">
      <c r="A443" t="s">
        <v>331</v>
      </c>
      <c r="B443" t="s">
        <v>7</v>
      </c>
      <c r="C443" s="2">
        <f>HYPERLINK("https://cao.dolgi.msk.ru/account/1050410539/", 1050410539)</f>
        <v>1050410539</v>
      </c>
      <c r="D443" s="4">
        <v>17028.080000000002</v>
      </c>
      <c r="E443">
        <v>2.83</v>
      </c>
    </row>
    <row r="444" spans="1:5" x14ac:dyDescent="0.25">
      <c r="A444" t="s">
        <v>331</v>
      </c>
      <c r="B444" t="s">
        <v>27</v>
      </c>
      <c r="C444" s="2">
        <f>HYPERLINK("https://cao.dolgi.msk.ru/account/1050411013/", 1050411013)</f>
        <v>1050411013</v>
      </c>
      <c r="D444" s="4">
        <v>6290.45</v>
      </c>
      <c r="E444">
        <v>1.01</v>
      </c>
    </row>
    <row r="445" spans="1:5" x14ac:dyDescent="0.25">
      <c r="A445" t="s">
        <v>331</v>
      </c>
      <c r="B445" t="s">
        <v>70</v>
      </c>
      <c r="C445" s="2">
        <f>HYPERLINK("https://cao.dolgi.msk.ru/account/1050412112/", 1050412112)</f>
        <v>1050412112</v>
      </c>
      <c r="D445" s="4">
        <v>15066.22</v>
      </c>
      <c r="E445">
        <v>1.8</v>
      </c>
    </row>
    <row r="446" spans="1:5" x14ac:dyDescent="0.25">
      <c r="A446" t="s">
        <v>331</v>
      </c>
      <c r="B446" t="s">
        <v>103</v>
      </c>
      <c r="C446" s="2">
        <f>HYPERLINK("https://cao.dolgi.msk.ru/account/1050412825/", 1050412825)</f>
        <v>1050412825</v>
      </c>
      <c r="D446" s="4">
        <v>82016.08</v>
      </c>
      <c r="E446">
        <v>12.17</v>
      </c>
    </row>
    <row r="447" spans="1:5" x14ac:dyDescent="0.25">
      <c r="A447" t="s">
        <v>331</v>
      </c>
      <c r="B447" t="s">
        <v>107</v>
      </c>
      <c r="C447" s="2">
        <f>HYPERLINK("https://cao.dolgi.msk.ru/account/1050412892/", 1050412892)</f>
        <v>1050412892</v>
      </c>
      <c r="D447" s="4">
        <v>50350.26</v>
      </c>
      <c r="E447">
        <v>4</v>
      </c>
    </row>
    <row r="448" spans="1:5" x14ac:dyDescent="0.25">
      <c r="A448" t="s">
        <v>332</v>
      </c>
      <c r="B448" t="s">
        <v>15</v>
      </c>
      <c r="C448" s="2">
        <f>HYPERLINK("https://cao.dolgi.msk.ru/account/1050287825/", 1050287825)</f>
        <v>1050287825</v>
      </c>
      <c r="D448" s="4">
        <v>32173.59</v>
      </c>
      <c r="E448">
        <v>2.77</v>
      </c>
    </row>
    <row r="449" spans="1:5" x14ac:dyDescent="0.25">
      <c r="A449" t="s">
        <v>332</v>
      </c>
      <c r="B449" t="s">
        <v>16</v>
      </c>
      <c r="C449" s="2">
        <f>HYPERLINK("https://cao.dolgi.msk.ru/account/1050287833/", 1050287833)</f>
        <v>1050287833</v>
      </c>
      <c r="D449" s="4">
        <v>10839.08</v>
      </c>
      <c r="E449">
        <v>2.5</v>
      </c>
    </row>
    <row r="450" spans="1:5" x14ac:dyDescent="0.25">
      <c r="A450" t="s">
        <v>332</v>
      </c>
      <c r="B450" t="s">
        <v>20</v>
      </c>
      <c r="C450" s="2">
        <f>HYPERLINK("https://cao.dolgi.msk.ru/account/1050287913/", 1050287913)</f>
        <v>1050287913</v>
      </c>
      <c r="D450" s="4">
        <v>7229.93</v>
      </c>
      <c r="E450">
        <v>1.28</v>
      </c>
    </row>
    <row r="451" spans="1:5" x14ac:dyDescent="0.25">
      <c r="A451" t="s">
        <v>332</v>
      </c>
      <c r="B451" t="s">
        <v>54</v>
      </c>
      <c r="C451" s="2">
        <f>HYPERLINK("https://cao.dolgi.msk.ru/account/1050288465/", 1050288465)</f>
        <v>1050288465</v>
      </c>
      <c r="D451" s="4">
        <v>285965.2</v>
      </c>
      <c r="E451">
        <v>55.6</v>
      </c>
    </row>
    <row r="452" spans="1:5" x14ac:dyDescent="0.25">
      <c r="A452" t="s">
        <v>332</v>
      </c>
      <c r="B452" t="s">
        <v>79</v>
      </c>
      <c r="C452" s="2">
        <f>HYPERLINK("https://cao.dolgi.msk.ru/account/1050288852/", 1050288852)</f>
        <v>1050288852</v>
      </c>
      <c r="D452" s="4">
        <v>10424.11</v>
      </c>
      <c r="E452">
        <v>1.67</v>
      </c>
    </row>
    <row r="453" spans="1:5" x14ac:dyDescent="0.25">
      <c r="A453" t="s">
        <v>333</v>
      </c>
      <c r="B453" t="s">
        <v>14</v>
      </c>
      <c r="C453" s="2">
        <f>HYPERLINK("https://cao.dolgi.msk.ru/account/1050260104/", 1050260104)</f>
        <v>1050260104</v>
      </c>
      <c r="D453" s="4">
        <v>9772.4500000000007</v>
      </c>
      <c r="E453">
        <v>1.97</v>
      </c>
    </row>
    <row r="454" spans="1:5" x14ac:dyDescent="0.25">
      <c r="A454" t="s">
        <v>333</v>
      </c>
      <c r="B454" t="s">
        <v>31</v>
      </c>
      <c r="C454" s="2">
        <f>HYPERLINK("https://cao.dolgi.msk.ru/account/1050260315/", 1050260315)</f>
        <v>1050260315</v>
      </c>
      <c r="D454" s="4">
        <v>19303.86</v>
      </c>
      <c r="E454">
        <v>4.2300000000000004</v>
      </c>
    </row>
    <row r="455" spans="1:5" x14ac:dyDescent="0.25">
      <c r="A455" t="s">
        <v>333</v>
      </c>
      <c r="B455" t="s">
        <v>37</v>
      </c>
      <c r="C455" s="2">
        <f>HYPERLINK("https://cao.dolgi.msk.ru/account/1050260382/", 1050260382)</f>
        <v>1050260382</v>
      </c>
      <c r="D455" s="4">
        <v>19927.47</v>
      </c>
      <c r="E455">
        <v>2.9</v>
      </c>
    </row>
    <row r="456" spans="1:5" x14ac:dyDescent="0.25">
      <c r="A456" t="s">
        <v>333</v>
      </c>
      <c r="B456" t="s">
        <v>39</v>
      </c>
      <c r="C456" s="2">
        <f>HYPERLINK("https://cao.dolgi.msk.ru/account/1050260411/", 1050260411)</f>
        <v>1050260411</v>
      </c>
      <c r="D456" s="4">
        <v>6188.11</v>
      </c>
      <c r="E456">
        <v>1.95</v>
      </c>
    </row>
    <row r="457" spans="1:5" x14ac:dyDescent="0.25">
      <c r="A457" t="s">
        <v>333</v>
      </c>
      <c r="B457" t="s">
        <v>47</v>
      </c>
      <c r="C457" s="2">
        <f>HYPERLINK("https://cao.dolgi.msk.ru/account/1050260526/", 1050260526)</f>
        <v>1050260526</v>
      </c>
      <c r="D457" s="4">
        <v>11836.67</v>
      </c>
      <c r="E457">
        <v>1.99</v>
      </c>
    </row>
    <row r="458" spans="1:5" x14ac:dyDescent="0.25">
      <c r="A458" t="s">
        <v>333</v>
      </c>
      <c r="B458" t="s">
        <v>94</v>
      </c>
      <c r="C458" s="2">
        <f>HYPERLINK("https://cao.dolgi.msk.ru/account/1058019809/", 1058019809)</f>
        <v>1058019809</v>
      </c>
      <c r="D458" s="4">
        <v>23477.919999999998</v>
      </c>
      <c r="E458">
        <v>2.99</v>
      </c>
    </row>
    <row r="459" spans="1:5" x14ac:dyDescent="0.25">
      <c r="A459" t="s">
        <v>333</v>
      </c>
      <c r="B459" t="s">
        <v>75</v>
      </c>
      <c r="C459" s="2">
        <f>HYPERLINK("https://cao.dolgi.msk.ru/account/1050260884/", 1050260884)</f>
        <v>1050260884</v>
      </c>
      <c r="D459" s="4">
        <v>15372.39</v>
      </c>
      <c r="E459">
        <v>2.91</v>
      </c>
    </row>
    <row r="460" spans="1:5" x14ac:dyDescent="0.25">
      <c r="A460" t="s">
        <v>333</v>
      </c>
      <c r="B460" t="s">
        <v>79</v>
      </c>
      <c r="C460" s="2">
        <f>HYPERLINK("https://cao.dolgi.msk.ru/account/1058135762/", 1058135762)</f>
        <v>1058135762</v>
      </c>
      <c r="D460" s="4">
        <v>5442.21</v>
      </c>
      <c r="E460">
        <v>1.21</v>
      </c>
    </row>
    <row r="461" spans="1:5" x14ac:dyDescent="0.25">
      <c r="A461" t="s">
        <v>333</v>
      </c>
      <c r="B461" t="s">
        <v>96</v>
      </c>
      <c r="C461" s="2">
        <f>HYPERLINK("https://cao.dolgi.msk.ru/account/1050261035/", 1050261035)</f>
        <v>1050261035</v>
      </c>
      <c r="D461" s="4">
        <v>26609.54</v>
      </c>
      <c r="E461">
        <v>4</v>
      </c>
    </row>
    <row r="462" spans="1:5" x14ac:dyDescent="0.25">
      <c r="A462" t="s">
        <v>333</v>
      </c>
      <c r="B462" t="s">
        <v>99</v>
      </c>
      <c r="C462" s="2">
        <f>HYPERLINK("https://cao.dolgi.msk.ru/account/1058019091/", 1058019091)</f>
        <v>1058019091</v>
      </c>
      <c r="D462" s="4">
        <v>9888.5</v>
      </c>
      <c r="E462">
        <v>1.98</v>
      </c>
    </row>
    <row r="463" spans="1:5" x14ac:dyDescent="0.25">
      <c r="A463" t="s">
        <v>333</v>
      </c>
      <c r="B463" t="s">
        <v>102</v>
      </c>
      <c r="C463" s="2">
        <f>HYPERLINK("https://cao.dolgi.msk.ru/account/1050261625/", 1050261625)</f>
        <v>1050261625</v>
      </c>
      <c r="D463" s="4">
        <v>14626.76</v>
      </c>
      <c r="E463">
        <v>1.87</v>
      </c>
    </row>
    <row r="464" spans="1:5" x14ac:dyDescent="0.25">
      <c r="A464" t="s">
        <v>333</v>
      </c>
      <c r="B464" t="s">
        <v>107</v>
      </c>
      <c r="C464" s="2">
        <f>HYPERLINK("https://cao.dolgi.msk.ru/account/1050261596/", 1050261596)</f>
        <v>1050261596</v>
      </c>
      <c r="D464" s="4">
        <v>9076.24</v>
      </c>
      <c r="E464">
        <v>1.7</v>
      </c>
    </row>
    <row r="465" spans="1:5" x14ac:dyDescent="0.25">
      <c r="A465" t="s">
        <v>333</v>
      </c>
      <c r="B465" t="s">
        <v>112</v>
      </c>
      <c r="C465" s="2">
        <f>HYPERLINK("https://cao.dolgi.msk.ru/account/1059018533/", 1059018533)</f>
        <v>1059018533</v>
      </c>
      <c r="D465" s="4">
        <v>49649.82</v>
      </c>
      <c r="E465">
        <v>19.84</v>
      </c>
    </row>
    <row r="466" spans="1:5" x14ac:dyDescent="0.25">
      <c r="A466" t="s">
        <v>333</v>
      </c>
      <c r="B466" t="s">
        <v>117</v>
      </c>
      <c r="C466" s="2">
        <f>HYPERLINK("https://cao.dolgi.msk.ru/account/1050261123/", 1050261123)</f>
        <v>1050261123</v>
      </c>
      <c r="D466" s="4">
        <v>12666.92</v>
      </c>
      <c r="E466">
        <v>1.99</v>
      </c>
    </row>
    <row r="467" spans="1:5" x14ac:dyDescent="0.25">
      <c r="A467" t="s">
        <v>333</v>
      </c>
      <c r="B467" t="s">
        <v>131</v>
      </c>
      <c r="C467" s="2">
        <f>HYPERLINK("https://cao.dolgi.msk.ru/account/1050261369/", 1050261369)</f>
        <v>1050261369</v>
      </c>
      <c r="D467" s="4">
        <v>8283.94</v>
      </c>
      <c r="E467">
        <v>1.19</v>
      </c>
    </row>
    <row r="468" spans="1:5" x14ac:dyDescent="0.25">
      <c r="A468" t="s">
        <v>333</v>
      </c>
      <c r="B468" t="s">
        <v>143</v>
      </c>
      <c r="C468" s="2">
        <f>HYPERLINK("https://cao.dolgi.msk.ru/account/1050261473/", 1050261473)</f>
        <v>1050261473</v>
      </c>
      <c r="D468" s="4">
        <v>17003.310000000001</v>
      </c>
      <c r="E468">
        <v>3.09</v>
      </c>
    </row>
    <row r="469" spans="1:5" x14ac:dyDescent="0.25">
      <c r="A469" t="s">
        <v>334</v>
      </c>
      <c r="B469" t="s">
        <v>55</v>
      </c>
      <c r="C469" s="2">
        <f>HYPERLINK("https://cao.dolgi.msk.ru/account/1050394284/", 1050394284)</f>
        <v>1050394284</v>
      </c>
      <c r="D469" s="4">
        <v>14985.3</v>
      </c>
      <c r="E469">
        <v>2.0499999999999998</v>
      </c>
    </row>
    <row r="470" spans="1:5" x14ac:dyDescent="0.25">
      <c r="A470" t="s">
        <v>334</v>
      </c>
      <c r="B470" t="s">
        <v>78</v>
      </c>
      <c r="C470" s="2">
        <f>HYPERLINK("https://cao.dolgi.msk.ru/account/1050394831/", 1050394831)</f>
        <v>1050394831</v>
      </c>
      <c r="D470" s="4">
        <v>6341.91</v>
      </c>
      <c r="E470">
        <v>1.4</v>
      </c>
    </row>
    <row r="471" spans="1:5" x14ac:dyDescent="0.25">
      <c r="A471" t="s">
        <v>334</v>
      </c>
      <c r="B471" t="s">
        <v>81</v>
      </c>
      <c r="C471" s="2">
        <f>HYPERLINK("https://cao.dolgi.msk.ru/account/1050394911/", 1050394911)</f>
        <v>1050394911</v>
      </c>
      <c r="D471" s="4">
        <v>5264.24</v>
      </c>
      <c r="E471">
        <v>1.75</v>
      </c>
    </row>
    <row r="472" spans="1:5" x14ac:dyDescent="0.25">
      <c r="A472" t="s">
        <v>334</v>
      </c>
      <c r="B472" t="s">
        <v>103</v>
      </c>
      <c r="C472" s="2">
        <f>HYPERLINK("https://cao.dolgi.msk.ru/account/1050395332/", 1050395332)</f>
        <v>1050395332</v>
      </c>
      <c r="D472" s="4">
        <v>48884.800000000003</v>
      </c>
      <c r="E472">
        <v>4.0999999999999996</v>
      </c>
    </row>
    <row r="473" spans="1:5" x14ac:dyDescent="0.25">
      <c r="A473" t="s">
        <v>335</v>
      </c>
      <c r="B473" t="s">
        <v>12</v>
      </c>
      <c r="C473" s="2">
        <f>HYPERLINK("https://cao.dolgi.msk.ru/account/1050310706/", 1050310706)</f>
        <v>1050310706</v>
      </c>
      <c r="D473" s="4">
        <v>5658.9</v>
      </c>
      <c r="E473">
        <v>1.4</v>
      </c>
    </row>
    <row r="474" spans="1:5" x14ac:dyDescent="0.25">
      <c r="A474" t="s">
        <v>335</v>
      </c>
      <c r="B474" t="s">
        <v>31</v>
      </c>
      <c r="C474" s="2">
        <f>HYPERLINK("https://cao.dolgi.msk.ru/account/1050310933/", 1050310933)</f>
        <v>1050310933</v>
      </c>
      <c r="D474" s="4">
        <v>12281.42</v>
      </c>
      <c r="E474">
        <v>2</v>
      </c>
    </row>
    <row r="475" spans="1:5" x14ac:dyDescent="0.25">
      <c r="A475" t="s">
        <v>335</v>
      </c>
      <c r="B475" t="s">
        <v>45</v>
      </c>
      <c r="C475" s="2">
        <f>HYPERLINK("https://cao.dolgi.msk.ru/account/1050311098/", 1050311098)</f>
        <v>1050311098</v>
      </c>
      <c r="D475" s="4">
        <v>48600.27</v>
      </c>
      <c r="E475">
        <v>9.27</v>
      </c>
    </row>
    <row r="476" spans="1:5" x14ac:dyDescent="0.25">
      <c r="A476" t="s">
        <v>335</v>
      </c>
      <c r="B476" t="s">
        <v>46</v>
      </c>
      <c r="C476" s="2">
        <f>HYPERLINK("https://cao.dolgi.msk.ru/account/1050311119/", 1050311119)</f>
        <v>1050311119</v>
      </c>
      <c r="D476" s="4">
        <v>17884.490000000002</v>
      </c>
      <c r="E476">
        <v>3.02</v>
      </c>
    </row>
    <row r="477" spans="1:5" x14ac:dyDescent="0.25">
      <c r="A477" t="s">
        <v>335</v>
      </c>
      <c r="B477" t="s">
        <v>50</v>
      </c>
      <c r="C477" s="2">
        <f>HYPERLINK("https://cao.dolgi.msk.ru/account/1050311186/", 1050311186)</f>
        <v>1050311186</v>
      </c>
      <c r="D477" s="4">
        <v>186675.29</v>
      </c>
      <c r="E477">
        <v>15.17</v>
      </c>
    </row>
    <row r="478" spans="1:5" x14ac:dyDescent="0.25">
      <c r="A478" t="s">
        <v>335</v>
      </c>
      <c r="B478" t="s">
        <v>55</v>
      </c>
      <c r="C478" s="2">
        <f>HYPERLINK("https://cao.dolgi.msk.ru/account/1050311231/", 1050311231)</f>
        <v>1050311231</v>
      </c>
      <c r="D478" s="4">
        <v>192399.99</v>
      </c>
      <c r="E478">
        <v>27.02</v>
      </c>
    </row>
    <row r="479" spans="1:5" x14ac:dyDescent="0.25">
      <c r="A479" t="s">
        <v>335</v>
      </c>
      <c r="B479" t="s">
        <v>67</v>
      </c>
      <c r="C479" s="2">
        <f>HYPERLINK("https://cao.dolgi.msk.ru/account/1050311397/", 1050311397)</f>
        <v>1050311397</v>
      </c>
      <c r="D479" s="4">
        <v>8766.58</v>
      </c>
      <c r="E479">
        <v>1.89</v>
      </c>
    </row>
    <row r="480" spans="1:5" x14ac:dyDescent="0.25">
      <c r="A480" t="s">
        <v>335</v>
      </c>
      <c r="B480" t="s">
        <v>91</v>
      </c>
      <c r="C480" s="2">
        <f>HYPERLINK("https://cao.dolgi.msk.ru/account/1050311696/", 1050311696)</f>
        <v>1050311696</v>
      </c>
      <c r="D480" s="4">
        <v>19567.490000000002</v>
      </c>
      <c r="E480">
        <v>3.93</v>
      </c>
    </row>
    <row r="481" spans="1:5" x14ac:dyDescent="0.25">
      <c r="A481" t="s">
        <v>335</v>
      </c>
      <c r="B481" t="s">
        <v>114</v>
      </c>
      <c r="C481" s="2">
        <f>HYPERLINK("https://cao.dolgi.msk.ru/account/1050311901/", 1050311901)</f>
        <v>1050311901</v>
      </c>
      <c r="D481" s="4">
        <v>7724.41</v>
      </c>
      <c r="E481">
        <v>1.8</v>
      </c>
    </row>
    <row r="482" spans="1:5" x14ac:dyDescent="0.25">
      <c r="A482" t="s">
        <v>336</v>
      </c>
      <c r="B482" t="s">
        <v>41</v>
      </c>
      <c r="C482" s="2">
        <f>HYPERLINK("https://cao.dolgi.msk.ru/account/1050339904/", 1050339904)</f>
        <v>1050339904</v>
      </c>
      <c r="D482" s="4">
        <v>16930.46</v>
      </c>
      <c r="E482">
        <v>2.41</v>
      </c>
    </row>
    <row r="483" spans="1:5" x14ac:dyDescent="0.25">
      <c r="A483" t="s">
        <v>336</v>
      </c>
      <c r="B483" t="s">
        <v>43</v>
      </c>
      <c r="C483" s="2">
        <f>HYPERLINK("https://cao.dolgi.msk.ru/account/1050339955/", 1050339955)</f>
        <v>1050339955</v>
      </c>
      <c r="D483" s="4">
        <v>6321.11</v>
      </c>
      <c r="E483">
        <v>1.43</v>
      </c>
    </row>
    <row r="484" spans="1:5" x14ac:dyDescent="0.25">
      <c r="A484" t="s">
        <v>336</v>
      </c>
      <c r="B484" t="s">
        <v>66</v>
      </c>
      <c r="C484" s="2">
        <f>HYPERLINK("https://cao.dolgi.msk.ru/account/1050340585/", 1050340585)</f>
        <v>1050340585</v>
      </c>
      <c r="D484" s="4">
        <v>5307.55</v>
      </c>
      <c r="E484">
        <v>1.34</v>
      </c>
    </row>
    <row r="485" spans="1:5" x14ac:dyDescent="0.25">
      <c r="A485" t="s">
        <v>336</v>
      </c>
      <c r="B485" t="s">
        <v>68</v>
      </c>
      <c r="C485" s="2">
        <f>HYPERLINK("https://cao.dolgi.msk.ru/account/1050340622/", 1050340622)</f>
        <v>1050340622</v>
      </c>
      <c r="D485" s="4">
        <v>20896.919999999998</v>
      </c>
      <c r="E485">
        <v>2.97</v>
      </c>
    </row>
    <row r="486" spans="1:5" x14ac:dyDescent="0.25">
      <c r="A486" t="s">
        <v>336</v>
      </c>
      <c r="B486" t="s">
        <v>75</v>
      </c>
      <c r="C486" s="2">
        <f>HYPERLINK("https://cao.dolgi.msk.ru/account/1050342054/", 1050342054)</f>
        <v>1050342054</v>
      </c>
      <c r="D486" s="4">
        <v>28965.38</v>
      </c>
      <c r="E486">
        <v>3.99</v>
      </c>
    </row>
    <row r="487" spans="1:5" x14ac:dyDescent="0.25">
      <c r="A487" t="s">
        <v>336</v>
      </c>
      <c r="B487" t="s">
        <v>88</v>
      </c>
      <c r="C487" s="2">
        <f>HYPERLINK("https://cao.dolgi.msk.ru/account/1050341115/", 1050341115)</f>
        <v>1050341115</v>
      </c>
      <c r="D487" s="4">
        <v>76501.179999999993</v>
      </c>
      <c r="E487">
        <v>21.21</v>
      </c>
    </row>
    <row r="488" spans="1:5" x14ac:dyDescent="0.25">
      <c r="A488" t="s">
        <v>337</v>
      </c>
      <c r="B488" t="s">
        <v>8</v>
      </c>
      <c r="C488" s="2">
        <f>HYPERLINK("https://cao.dolgi.msk.ru/account/1050342871/", 1050342871)</f>
        <v>1050342871</v>
      </c>
      <c r="D488" s="4">
        <v>29826.959999999999</v>
      </c>
      <c r="E488">
        <v>5.12</v>
      </c>
    </row>
    <row r="489" spans="1:5" x14ac:dyDescent="0.25">
      <c r="A489" t="s">
        <v>337</v>
      </c>
      <c r="B489" t="s">
        <v>13</v>
      </c>
      <c r="C489" s="2">
        <f>HYPERLINK("https://cao.dolgi.msk.ru/account/1050342994/", 1050342994)</f>
        <v>1050342994</v>
      </c>
      <c r="D489" s="4">
        <v>13031.19</v>
      </c>
      <c r="E489">
        <v>1.97</v>
      </c>
    </row>
    <row r="490" spans="1:5" x14ac:dyDescent="0.25">
      <c r="A490" t="s">
        <v>337</v>
      </c>
      <c r="B490" t="s">
        <v>20</v>
      </c>
      <c r="C490" s="2">
        <f>HYPERLINK("https://cao.dolgi.msk.ru/account/1050343137/", 1050343137)</f>
        <v>1050343137</v>
      </c>
      <c r="D490" s="4">
        <v>7649.68</v>
      </c>
      <c r="E490">
        <v>1.71</v>
      </c>
    </row>
    <row r="491" spans="1:5" x14ac:dyDescent="0.25">
      <c r="A491" t="s">
        <v>337</v>
      </c>
      <c r="B491" t="s">
        <v>43</v>
      </c>
      <c r="C491" s="2">
        <f>HYPERLINK("https://cao.dolgi.msk.ru/account/1050343583/", 1050343583)</f>
        <v>1050343583</v>
      </c>
      <c r="D491" s="4">
        <v>10481.469999999999</v>
      </c>
      <c r="E491">
        <v>1.98</v>
      </c>
    </row>
    <row r="492" spans="1:5" x14ac:dyDescent="0.25">
      <c r="A492" t="s">
        <v>337</v>
      </c>
      <c r="B492" t="s">
        <v>45</v>
      </c>
      <c r="C492" s="2">
        <f>HYPERLINK("https://cao.dolgi.msk.ru/account/1050343612/", 1050343612)</f>
        <v>1050343612</v>
      </c>
      <c r="D492" s="4">
        <v>8311.92</v>
      </c>
      <c r="E492">
        <v>1.66</v>
      </c>
    </row>
    <row r="493" spans="1:5" x14ac:dyDescent="0.25">
      <c r="A493" t="s">
        <v>337</v>
      </c>
      <c r="B493" t="s">
        <v>94</v>
      </c>
      <c r="C493" s="2">
        <f>HYPERLINK("https://cao.dolgi.msk.ru/account/1050343663/", 1050343663)</f>
        <v>1050343663</v>
      </c>
      <c r="D493" s="4">
        <v>9242.93</v>
      </c>
      <c r="E493">
        <v>1.89</v>
      </c>
    </row>
    <row r="494" spans="1:5" x14ac:dyDescent="0.25">
      <c r="A494" t="s">
        <v>337</v>
      </c>
      <c r="B494" t="s">
        <v>55</v>
      </c>
      <c r="C494" s="2">
        <f>HYPERLINK("https://cao.dolgi.msk.ru/account/1058134268/", 1058134268)</f>
        <v>1058134268</v>
      </c>
      <c r="D494" s="4">
        <v>72466.740000000005</v>
      </c>
      <c r="E494">
        <v>16.86</v>
      </c>
    </row>
    <row r="495" spans="1:5" x14ac:dyDescent="0.25">
      <c r="A495" t="s">
        <v>338</v>
      </c>
      <c r="B495" t="s">
        <v>69</v>
      </c>
      <c r="C495" s="2">
        <f>HYPERLINK("https://cao.dolgi.msk.ru/account/1050356157/", 1050356157)</f>
        <v>1050356157</v>
      </c>
      <c r="D495" s="4">
        <v>26980.39</v>
      </c>
      <c r="E495">
        <v>2.2999999999999998</v>
      </c>
    </row>
    <row r="496" spans="1:5" x14ac:dyDescent="0.25">
      <c r="A496" t="s">
        <v>338</v>
      </c>
      <c r="B496" t="s">
        <v>101</v>
      </c>
      <c r="C496" s="2">
        <f>HYPERLINK("https://cao.dolgi.msk.ru/account/1050356915/", 1050356915)</f>
        <v>1050356915</v>
      </c>
      <c r="D496" s="4">
        <v>11954.45</v>
      </c>
      <c r="E496">
        <v>1.63</v>
      </c>
    </row>
    <row r="497" spans="1:5" x14ac:dyDescent="0.25">
      <c r="A497" t="s">
        <v>338</v>
      </c>
      <c r="B497" t="s">
        <v>102</v>
      </c>
      <c r="C497" s="2">
        <f>HYPERLINK("https://cao.dolgi.msk.ru/account/1050356931/", 1050356931)</f>
        <v>1050356931</v>
      </c>
      <c r="D497" s="4">
        <v>17790.52</v>
      </c>
      <c r="E497">
        <v>2.0699999999999998</v>
      </c>
    </row>
    <row r="498" spans="1:5" x14ac:dyDescent="0.25">
      <c r="A498" t="s">
        <v>338</v>
      </c>
      <c r="B498" t="s">
        <v>117</v>
      </c>
      <c r="C498" s="2">
        <f>HYPERLINK("https://cao.dolgi.msk.ru/account/1050357344/", 1050357344)</f>
        <v>1050357344</v>
      </c>
      <c r="D498" s="4">
        <v>6828.09</v>
      </c>
      <c r="E498">
        <v>1.9</v>
      </c>
    </row>
    <row r="499" spans="1:5" x14ac:dyDescent="0.25">
      <c r="A499" t="s">
        <v>338</v>
      </c>
      <c r="B499" t="s">
        <v>122</v>
      </c>
      <c r="C499" s="2">
        <f>HYPERLINK("https://cao.dolgi.msk.ru/account/1050357491/", 1050357491)</f>
        <v>1050357491</v>
      </c>
      <c r="D499" s="4">
        <v>12524.96</v>
      </c>
      <c r="E499">
        <v>1.81</v>
      </c>
    </row>
    <row r="500" spans="1:5" x14ac:dyDescent="0.25">
      <c r="A500" t="s">
        <v>338</v>
      </c>
      <c r="B500" t="s">
        <v>131</v>
      </c>
      <c r="C500" s="2">
        <f>HYPERLINK("https://cao.dolgi.msk.ru/account/1050357213/", 1050357213)</f>
        <v>1050357213</v>
      </c>
      <c r="D500" s="4">
        <v>24633.29</v>
      </c>
      <c r="E500">
        <v>1.97</v>
      </c>
    </row>
    <row r="501" spans="1:5" x14ac:dyDescent="0.25">
      <c r="A501" t="s">
        <v>338</v>
      </c>
      <c r="B501" t="s">
        <v>141</v>
      </c>
      <c r="C501" s="2">
        <f>HYPERLINK("https://cao.dolgi.msk.ru/account/1050358152/", 1050358152)</f>
        <v>1050358152</v>
      </c>
      <c r="D501" s="4">
        <v>19410.849999999999</v>
      </c>
      <c r="E501">
        <v>1.97</v>
      </c>
    </row>
    <row r="502" spans="1:5" x14ac:dyDescent="0.25">
      <c r="A502" t="s">
        <v>339</v>
      </c>
      <c r="B502" t="s">
        <v>154</v>
      </c>
      <c r="C502" s="2">
        <f>HYPERLINK("https://cao.dolgi.msk.ru/account/1050361183/", 1050361183)</f>
        <v>1050361183</v>
      </c>
      <c r="D502" s="4">
        <v>6913.92</v>
      </c>
      <c r="E502">
        <v>1.03</v>
      </c>
    </row>
    <row r="503" spans="1:5" x14ac:dyDescent="0.25">
      <c r="A503" t="s">
        <v>339</v>
      </c>
      <c r="B503" t="s">
        <v>155</v>
      </c>
      <c r="C503" s="2">
        <f>HYPERLINK("https://cao.dolgi.msk.ru/account/1050358478/", 1050358478)</f>
        <v>1050358478</v>
      </c>
      <c r="D503" s="4">
        <v>5495.19</v>
      </c>
      <c r="E503">
        <v>1.59</v>
      </c>
    </row>
    <row r="504" spans="1:5" x14ac:dyDescent="0.25">
      <c r="A504" t="s">
        <v>339</v>
      </c>
      <c r="B504" t="s">
        <v>163</v>
      </c>
      <c r="C504" s="2">
        <f>HYPERLINK("https://cao.dolgi.msk.ru/account/1050358689/", 1050358689)</f>
        <v>1050358689</v>
      </c>
      <c r="D504" s="4">
        <v>6565.88</v>
      </c>
      <c r="E504">
        <v>1.83</v>
      </c>
    </row>
    <row r="505" spans="1:5" x14ac:dyDescent="0.25">
      <c r="A505" t="s">
        <v>339</v>
      </c>
      <c r="B505" t="s">
        <v>176</v>
      </c>
      <c r="C505" s="2">
        <f>HYPERLINK("https://cao.dolgi.msk.ru/account/1050359155/", 1050359155)</f>
        <v>1050359155</v>
      </c>
      <c r="D505" s="4">
        <v>8874.84</v>
      </c>
      <c r="E505">
        <v>1.18</v>
      </c>
    </row>
    <row r="506" spans="1:5" x14ac:dyDescent="0.25">
      <c r="A506" t="s">
        <v>339</v>
      </c>
      <c r="B506" t="s">
        <v>179</v>
      </c>
      <c r="C506" s="2">
        <f>HYPERLINK("https://cao.dolgi.msk.ru/account/1050359251/", 1050359251)</f>
        <v>1050359251</v>
      </c>
      <c r="D506" s="4">
        <v>18021.32</v>
      </c>
      <c r="E506">
        <v>2.94</v>
      </c>
    </row>
    <row r="507" spans="1:5" x14ac:dyDescent="0.25">
      <c r="A507" t="s">
        <v>339</v>
      </c>
      <c r="B507" t="s">
        <v>182</v>
      </c>
      <c r="C507" s="2">
        <f>HYPERLINK("https://cao.dolgi.msk.ru/account/1050359411/", 1050359411)</f>
        <v>1050359411</v>
      </c>
      <c r="D507" s="4">
        <v>20647.099999999999</v>
      </c>
      <c r="E507">
        <v>1.97</v>
      </c>
    </row>
    <row r="508" spans="1:5" x14ac:dyDescent="0.25">
      <c r="A508" t="s">
        <v>340</v>
      </c>
      <c r="B508" t="s">
        <v>40</v>
      </c>
      <c r="C508" s="2">
        <f>HYPERLINK("https://cao.dolgi.msk.ru/account/1050355429/", 1050355429)</f>
        <v>1050355429</v>
      </c>
      <c r="D508" s="4">
        <v>10209.08</v>
      </c>
      <c r="E508">
        <v>1.1200000000000001</v>
      </c>
    </row>
    <row r="509" spans="1:5" x14ac:dyDescent="0.25">
      <c r="A509" t="s">
        <v>340</v>
      </c>
      <c r="B509" t="s">
        <v>43</v>
      </c>
      <c r="C509" s="2">
        <f>HYPERLINK("https://cao.dolgi.msk.ru/account/1050355496/", 1050355496)</f>
        <v>1050355496</v>
      </c>
      <c r="D509" s="4">
        <v>47118.8</v>
      </c>
      <c r="E509">
        <v>8.06</v>
      </c>
    </row>
    <row r="510" spans="1:5" x14ac:dyDescent="0.25">
      <c r="A510" t="s">
        <v>340</v>
      </c>
      <c r="B510" t="s">
        <v>44</v>
      </c>
      <c r="C510" s="2">
        <f>HYPERLINK("https://cao.dolgi.msk.ru/account/1050355509/", 1050355509)</f>
        <v>1050355509</v>
      </c>
      <c r="D510" s="4">
        <v>44009.81</v>
      </c>
      <c r="E510">
        <v>7.28</v>
      </c>
    </row>
    <row r="511" spans="1:5" x14ac:dyDescent="0.25">
      <c r="A511" t="s">
        <v>340</v>
      </c>
      <c r="B511" t="s">
        <v>52</v>
      </c>
      <c r="C511" s="2">
        <f>HYPERLINK("https://cao.dolgi.msk.ru/account/1050355736/", 1050355736)</f>
        <v>1050355736</v>
      </c>
      <c r="D511" s="4">
        <v>27508.58</v>
      </c>
      <c r="E511">
        <v>2.86</v>
      </c>
    </row>
    <row r="512" spans="1:5" x14ac:dyDescent="0.25">
      <c r="A512" t="s">
        <v>340</v>
      </c>
      <c r="B512" t="s">
        <v>58</v>
      </c>
      <c r="C512" s="2">
        <f>HYPERLINK("https://cao.dolgi.msk.ru/account/1050355867/", 1050355867)</f>
        <v>1050355867</v>
      </c>
      <c r="D512" s="4">
        <v>13125.64</v>
      </c>
      <c r="E512">
        <v>1.93</v>
      </c>
    </row>
    <row r="513" spans="1:5" x14ac:dyDescent="0.25">
      <c r="A513" t="s">
        <v>340</v>
      </c>
      <c r="B513" t="s">
        <v>61</v>
      </c>
      <c r="C513" s="2">
        <f>HYPERLINK("https://cao.dolgi.msk.ru/account/1050355947/", 1050355947)</f>
        <v>1050355947</v>
      </c>
      <c r="D513" s="4">
        <v>13296.77</v>
      </c>
      <c r="E513">
        <v>2.27</v>
      </c>
    </row>
    <row r="514" spans="1:5" x14ac:dyDescent="0.25">
      <c r="A514" t="s">
        <v>340</v>
      </c>
      <c r="B514" t="s">
        <v>62</v>
      </c>
      <c r="C514" s="2">
        <f>HYPERLINK("https://cao.dolgi.msk.ru/account/1050355963/", 1050355963)</f>
        <v>1050355963</v>
      </c>
      <c r="D514" s="4">
        <v>102552.33</v>
      </c>
      <c r="E514">
        <v>6.86</v>
      </c>
    </row>
    <row r="515" spans="1:5" x14ac:dyDescent="0.25">
      <c r="A515" t="s">
        <v>341</v>
      </c>
      <c r="B515" t="s">
        <v>21</v>
      </c>
      <c r="C515" s="2">
        <f>HYPERLINK("https://cao.dolgi.msk.ru/account/1050420147/", 1050420147)</f>
        <v>1050420147</v>
      </c>
      <c r="D515" s="4">
        <v>5145.7</v>
      </c>
      <c r="E515">
        <v>1.47</v>
      </c>
    </row>
    <row r="516" spans="1:5" x14ac:dyDescent="0.25">
      <c r="A516" t="s">
        <v>341</v>
      </c>
      <c r="B516" t="s">
        <v>38</v>
      </c>
      <c r="C516" s="2">
        <f>HYPERLINK("https://cao.dolgi.msk.ru/account/1050420331/", 1050420331)</f>
        <v>1050420331</v>
      </c>
      <c r="D516" s="4">
        <v>30932.25</v>
      </c>
      <c r="E516">
        <v>2.97</v>
      </c>
    </row>
    <row r="517" spans="1:5" x14ac:dyDescent="0.25">
      <c r="A517" t="s">
        <v>341</v>
      </c>
      <c r="B517" t="s">
        <v>61</v>
      </c>
      <c r="C517" s="2">
        <f>HYPERLINK("https://cao.dolgi.msk.ru/account/1050420665/", 1050420665)</f>
        <v>1050420665</v>
      </c>
      <c r="D517" s="4">
        <v>23762.91</v>
      </c>
      <c r="E517">
        <v>3</v>
      </c>
    </row>
    <row r="518" spans="1:5" x14ac:dyDescent="0.25">
      <c r="A518" t="s">
        <v>341</v>
      </c>
      <c r="B518" t="s">
        <v>66</v>
      </c>
      <c r="C518" s="2">
        <f>HYPERLINK("https://cao.dolgi.msk.ru/account/1050420737/", 1050420737)</f>
        <v>1050420737</v>
      </c>
      <c r="D518" s="4">
        <v>12798.29</v>
      </c>
      <c r="E518">
        <v>1.98</v>
      </c>
    </row>
    <row r="519" spans="1:5" x14ac:dyDescent="0.25">
      <c r="A519" t="s">
        <v>341</v>
      </c>
      <c r="B519" t="s">
        <v>85</v>
      </c>
      <c r="C519" s="2">
        <f>HYPERLINK("https://cao.dolgi.msk.ru/account/1050420956/", 1050420956)</f>
        <v>1050420956</v>
      </c>
      <c r="D519" s="4">
        <v>13206.74</v>
      </c>
      <c r="E519">
        <v>2</v>
      </c>
    </row>
    <row r="520" spans="1:5" x14ac:dyDescent="0.25">
      <c r="A520" t="s">
        <v>342</v>
      </c>
      <c r="B520" t="s">
        <v>39</v>
      </c>
      <c r="C520" s="2">
        <f>HYPERLINK("https://cao.dolgi.msk.ru/account/1056043637/", 1056043637)</f>
        <v>1056043637</v>
      </c>
      <c r="D520" s="4">
        <v>250113.27</v>
      </c>
      <c r="E520">
        <v>37.15</v>
      </c>
    </row>
    <row r="521" spans="1:5" x14ac:dyDescent="0.25">
      <c r="A521" t="s">
        <v>342</v>
      </c>
      <c r="B521" t="s">
        <v>49</v>
      </c>
      <c r="C521" s="2">
        <f>HYPERLINK("https://cao.dolgi.msk.ru/account/1056043776/", 1056043776)</f>
        <v>1056043776</v>
      </c>
      <c r="D521" s="4">
        <v>7253.61</v>
      </c>
      <c r="E521">
        <v>1.01</v>
      </c>
    </row>
    <row r="522" spans="1:5" x14ac:dyDescent="0.25">
      <c r="A522" t="s">
        <v>342</v>
      </c>
      <c r="B522" t="s">
        <v>70</v>
      </c>
      <c r="C522" s="2">
        <f>HYPERLINK("https://cao.dolgi.msk.ru/account/1056044031/", 1056044031)</f>
        <v>1056044031</v>
      </c>
      <c r="D522" s="4">
        <v>21182.84</v>
      </c>
      <c r="E522">
        <v>3.02</v>
      </c>
    </row>
    <row r="523" spans="1:5" x14ac:dyDescent="0.25">
      <c r="A523" t="s">
        <v>342</v>
      </c>
      <c r="B523" t="s">
        <v>81</v>
      </c>
      <c r="C523" s="2">
        <f>HYPERLINK("https://cao.dolgi.msk.ru/account/1056044189/", 1056044189)</f>
        <v>1056044189</v>
      </c>
      <c r="D523" s="4">
        <v>9564.35</v>
      </c>
      <c r="E523">
        <v>1.99</v>
      </c>
    </row>
    <row r="524" spans="1:5" x14ac:dyDescent="0.25">
      <c r="A524" t="s">
        <v>342</v>
      </c>
      <c r="B524" t="s">
        <v>86</v>
      </c>
      <c r="C524" s="2">
        <f>HYPERLINK("https://cao.dolgi.msk.ru/account/1056044242/", 1056044242)</f>
        <v>1056044242</v>
      </c>
      <c r="D524" s="4">
        <v>10818.93</v>
      </c>
      <c r="E524">
        <v>1.62</v>
      </c>
    </row>
    <row r="525" spans="1:5" x14ac:dyDescent="0.25">
      <c r="A525" t="s">
        <v>343</v>
      </c>
      <c r="B525" t="s">
        <v>6</v>
      </c>
      <c r="C525" s="2">
        <f>HYPERLINK("https://cao.dolgi.msk.ru/account/1050420999/", 1050420999)</f>
        <v>1050420999</v>
      </c>
      <c r="D525" s="4">
        <v>47467.53</v>
      </c>
      <c r="E525">
        <v>22.84</v>
      </c>
    </row>
    <row r="526" spans="1:5" x14ac:dyDescent="0.25">
      <c r="A526" t="s">
        <v>343</v>
      </c>
      <c r="B526" t="s">
        <v>20</v>
      </c>
      <c r="C526" s="2">
        <f>HYPERLINK("https://cao.dolgi.msk.ru/account/1050421174/", 1050421174)</f>
        <v>1050421174</v>
      </c>
      <c r="D526" s="4">
        <v>36037.61</v>
      </c>
      <c r="E526">
        <v>8.34</v>
      </c>
    </row>
    <row r="527" spans="1:5" x14ac:dyDescent="0.25">
      <c r="A527" t="s">
        <v>343</v>
      </c>
      <c r="B527" t="s">
        <v>44</v>
      </c>
      <c r="C527" s="2">
        <f>HYPERLINK("https://cao.dolgi.msk.ru/account/1050421465/", 1050421465)</f>
        <v>1050421465</v>
      </c>
      <c r="D527" s="4">
        <v>9051.73</v>
      </c>
      <c r="E527">
        <v>1.73</v>
      </c>
    </row>
    <row r="528" spans="1:5" x14ac:dyDescent="0.25">
      <c r="A528" t="s">
        <v>343</v>
      </c>
      <c r="B528" t="s">
        <v>53</v>
      </c>
      <c r="C528" s="2">
        <f>HYPERLINK("https://cao.dolgi.msk.ru/account/1058124609/", 1058124609)</f>
        <v>1058124609</v>
      </c>
      <c r="D528" s="4">
        <v>6394.41</v>
      </c>
      <c r="E528">
        <v>1.92</v>
      </c>
    </row>
    <row r="529" spans="1:5" x14ac:dyDescent="0.25">
      <c r="A529" t="s">
        <v>343</v>
      </c>
      <c r="B529" t="s">
        <v>57</v>
      </c>
      <c r="C529" s="2">
        <f>HYPERLINK("https://cao.dolgi.msk.ru/account/1050421641/", 1050421641)</f>
        <v>1050421641</v>
      </c>
      <c r="D529" s="4">
        <v>268527</v>
      </c>
      <c r="E529">
        <v>32.06</v>
      </c>
    </row>
    <row r="530" spans="1:5" x14ac:dyDescent="0.25">
      <c r="A530" t="s">
        <v>343</v>
      </c>
      <c r="B530" t="s">
        <v>80</v>
      </c>
      <c r="C530" s="2">
        <f>HYPERLINK("https://cao.dolgi.msk.ru/account/1050421924/", 1050421924)</f>
        <v>1050421924</v>
      </c>
      <c r="D530" s="4">
        <v>8478.49</v>
      </c>
      <c r="E530">
        <v>1.1399999999999999</v>
      </c>
    </row>
    <row r="531" spans="1:5" x14ac:dyDescent="0.25">
      <c r="A531" t="s">
        <v>343</v>
      </c>
      <c r="B531" t="s">
        <v>85</v>
      </c>
      <c r="C531" s="2">
        <f>HYPERLINK("https://cao.dolgi.msk.ru/account/1050421983/", 1050421983)</f>
        <v>1050421983</v>
      </c>
      <c r="D531" s="4">
        <v>57618.09</v>
      </c>
      <c r="E531">
        <v>10.73</v>
      </c>
    </row>
    <row r="532" spans="1:5" x14ac:dyDescent="0.25">
      <c r="A532" t="s">
        <v>344</v>
      </c>
      <c r="B532" t="s">
        <v>13</v>
      </c>
      <c r="C532" s="2">
        <f>HYPERLINK("https://cao.dolgi.msk.ru/account/1050322475/", 1050322475)</f>
        <v>1050322475</v>
      </c>
      <c r="D532" s="4">
        <v>6058.58</v>
      </c>
      <c r="E532">
        <v>1.01</v>
      </c>
    </row>
    <row r="533" spans="1:5" x14ac:dyDescent="0.25">
      <c r="A533" t="s">
        <v>344</v>
      </c>
      <c r="B533" t="s">
        <v>50</v>
      </c>
      <c r="C533" s="2">
        <f>HYPERLINK("https://cao.dolgi.msk.ru/account/1050322985/", 1050322985)</f>
        <v>1050322985</v>
      </c>
      <c r="D533" s="4">
        <v>8844.83</v>
      </c>
      <c r="E533">
        <v>1.01</v>
      </c>
    </row>
    <row r="534" spans="1:5" x14ac:dyDescent="0.25">
      <c r="A534" t="s">
        <v>344</v>
      </c>
      <c r="B534" t="s">
        <v>51</v>
      </c>
      <c r="C534" s="2">
        <f>HYPERLINK("https://cao.dolgi.msk.ru/account/1050322993/", 1050322993)</f>
        <v>1050322993</v>
      </c>
      <c r="D534" s="4">
        <v>16546.169999999998</v>
      </c>
      <c r="E534">
        <v>2.88</v>
      </c>
    </row>
    <row r="535" spans="1:5" x14ac:dyDescent="0.25">
      <c r="A535" t="s">
        <v>344</v>
      </c>
      <c r="B535" t="s">
        <v>55</v>
      </c>
      <c r="C535" s="2">
        <f>HYPERLINK("https://cao.dolgi.msk.ru/account/1050323064/", 1050323064)</f>
        <v>1050323064</v>
      </c>
      <c r="D535" s="4">
        <v>23358.59</v>
      </c>
      <c r="E535">
        <v>2.5299999999999998</v>
      </c>
    </row>
    <row r="536" spans="1:5" x14ac:dyDescent="0.25">
      <c r="A536" t="s">
        <v>344</v>
      </c>
      <c r="B536" t="s">
        <v>91</v>
      </c>
      <c r="C536" s="2">
        <f>HYPERLINK("https://cao.dolgi.msk.ru/account/1050323523/", 1050323523)</f>
        <v>1050323523</v>
      </c>
      <c r="D536" s="4">
        <v>9750.52</v>
      </c>
      <c r="E536">
        <v>1.62</v>
      </c>
    </row>
    <row r="537" spans="1:5" x14ac:dyDescent="0.25">
      <c r="A537" t="s">
        <v>344</v>
      </c>
      <c r="B537" t="s">
        <v>103</v>
      </c>
      <c r="C537" s="2">
        <f>HYPERLINK("https://cao.dolgi.msk.ru/account/1050323611/", 1050323611)</f>
        <v>1050323611</v>
      </c>
      <c r="D537" s="4">
        <v>53645.8</v>
      </c>
      <c r="E537">
        <v>7.2</v>
      </c>
    </row>
    <row r="538" spans="1:5" x14ac:dyDescent="0.25">
      <c r="A538" t="s">
        <v>344</v>
      </c>
      <c r="B538" t="s">
        <v>112</v>
      </c>
      <c r="C538" s="2">
        <f>HYPERLINK("https://cao.dolgi.msk.ru/account/1050323734/", 1050323734)</f>
        <v>1050323734</v>
      </c>
      <c r="D538" s="4">
        <v>24897.200000000001</v>
      </c>
      <c r="E538">
        <v>2.5</v>
      </c>
    </row>
    <row r="539" spans="1:5" x14ac:dyDescent="0.25">
      <c r="A539" t="s">
        <v>344</v>
      </c>
      <c r="B539" t="s">
        <v>145</v>
      </c>
      <c r="C539" s="2">
        <f>HYPERLINK("https://cao.dolgi.msk.ru/account/1050324702/", 1050324702)</f>
        <v>1050324702</v>
      </c>
      <c r="D539" s="4">
        <v>6482.79</v>
      </c>
      <c r="E539">
        <v>1.18</v>
      </c>
    </row>
    <row r="540" spans="1:5" x14ac:dyDescent="0.25">
      <c r="A540" t="s">
        <v>344</v>
      </c>
      <c r="B540" t="s">
        <v>147</v>
      </c>
      <c r="C540" s="2">
        <f>HYPERLINK("https://cao.dolgi.msk.ru/account/1050324761/", 1050324761)</f>
        <v>1050324761</v>
      </c>
      <c r="D540" s="4">
        <v>12605.76</v>
      </c>
      <c r="E540">
        <v>1.1100000000000001</v>
      </c>
    </row>
    <row r="541" spans="1:5" x14ac:dyDescent="0.25">
      <c r="A541" t="s">
        <v>345</v>
      </c>
      <c r="B541" t="s">
        <v>15</v>
      </c>
      <c r="C541" s="2">
        <f>HYPERLINK("https://cao.dolgi.msk.ru/account/1050410731/", 1050410731)</f>
        <v>1050410731</v>
      </c>
      <c r="D541" s="4">
        <v>15978.02</v>
      </c>
      <c r="E541">
        <v>1.94</v>
      </c>
    </row>
    <row r="542" spans="1:5" x14ac:dyDescent="0.25">
      <c r="A542" t="s">
        <v>345</v>
      </c>
      <c r="B542" t="s">
        <v>47</v>
      </c>
      <c r="C542" s="2">
        <f>HYPERLINK("https://cao.dolgi.msk.ru/account/1050411531/", 1050411531)</f>
        <v>1050411531</v>
      </c>
      <c r="D542" s="4">
        <v>10062.89</v>
      </c>
      <c r="E542">
        <v>1.92</v>
      </c>
    </row>
    <row r="543" spans="1:5" x14ac:dyDescent="0.25">
      <c r="A543" t="s">
        <v>345</v>
      </c>
      <c r="B543" t="s">
        <v>53</v>
      </c>
      <c r="C543" s="2">
        <f>HYPERLINK("https://cao.dolgi.msk.ru/account/1050411742/", 1050411742)</f>
        <v>1050411742</v>
      </c>
      <c r="D543" s="4">
        <v>180837.42</v>
      </c>
      <c r="E543">
        <v>27.39</v>
      </c>
    </row>
    <row r="544" spans="1:5" x14ac:dyDescent="0.25">
      <c r="A544" t="s">
        <v>345</v>
      </c>
      <c r="B544" t="s">
        <v>67</v>
      </c>
      <c r="C544" s="2">
        <f>HYPERLINK("https://cao.dolgi.msk.ru/account/1050412083/", 1050412083)</f>
        <v>1050412083</v>
      </c>
      <c r="D544" s="4">
        <v>22235.03</v>
      </c>
      <c r="E544">
        <v>2.95</v>
      </c>
    </row>
    <row r="545" spans="1:5" x14ac:dyDescent="0.25">
      <c r="A545" t="s">
        <v>345</v>
      </c>
      <c r="B545" t="s">
        <v>73</v>
      </c>
      <c r="C545" s="2">
        <f>HYPERLINK("https://cao.dolgi.msk.ru/account/1050412235/", 1050412235)</f>
        <v>1050412235</v>
      </c>
      <c r="D545" s="4">
        <v>6751.58</v>
      </c>
      <c r="E545">
        <v>2.04</v>
      </c>
    </row>
    <row r="546" spans="1:5" x14ac:dyDescent="0.25">
      <c r="A546" t="s">
        <v>345</v>
      </c>
      <c r="B546" t="s">
        <v>91</v>
      </c>
      <c r="C546" s="2">
        <f>HYPERLINK("https://cao.dolgi.msk.ru/account/1050412665/", 1050412665)</f>
        <v>1050412665</v>
      </c>
      <c r="D546" s="4">
        <v>33766.93</v>
      </c>
      <c r="E546">
        <v>3.02</v>
      </c>
    </row>
    <row r="547" spans="1:5" x14ac:dyDescent="0.25">
      <c r="A547" t="s">
        <v>345</v>
      </c>
      <c r="B547" t="s">
        <v>96</v>
      </c>
      <c r="C547" s="2">
        <f>HYPERLINK("https://cao.dolgi.msk.ru/account/1050412681/", 1050412681)</f>
        <v>1050412681</v>
      </c>
      <c r="D547" s="4">
        <v>12096.57</v>
      </c>
      <c r="E547">
        <v>1.89</v>
      </c>
    </row>
    <row r="548" spans="1:5" x14ac:dyDescent="0.25">
      <c r="A548" t="s">
        <v>345</v>
      </c>
      <c r="B548" t="s">
        <v>98</v>
      </c>
      <c r="C548" s="2">
        <f>HYPERLINK("https://cao.dolgi.msk.ru/account/1050412745/", 1050412745)</f>
        <v>1050412745</v>
      </c>
      <c r="D548" s="4">
        <v>7290.61</v>
      </c>
      <c r="E548">
        <v>1.5</v>
      </c>
    </row>
    <row r="549" spans="1:5" x14ac:dyDescent="0.25">
      <c r="A549" t="s">
        <v>345</v>
      </c>
      <c r="B549" t="s">
        <v>126</v>
      </c>
      <c r="C549" s="2">
        <f>HYPERLINK("https://cao.dolgi.msk.ru/account/1050413238/", 1050413238)</f>
        <v>1050413238</v>
      </c>
      <c r="D549" s="4">
        <v>43902.86</v>
      </c>
      <c r="E549">
        <v>3.99</v>
      </c>
    </row>
    <row r="550" spans="1:5" x14ac:dyDescent="0.25">
      <c r="A550" t="s">
        <v>345</v>
      </c>
      <c r="B550" t="s">
        <v>176</v>
      </c>
      <c r="C550" s="2">
        <f>HYPERLINK("https://cao.dolgi.msk.ru/account/1050413924/", 1050413924)</f>
        <v>1050413924</v>
      </c>
      <c r="D550" s="4">
        <v>10574.52</v>
      </c>
      <c r="E550">
        <v>2.4</v>
      </c>
    </row>
    <row r="551" spans="1:5" x14ac:dyDescent="0.25">
      <c r="A551" t="s">
        <v>345</v>
      </c>
      <c r="B551" t="s">
        <v>183</v>
      </c>
      <c r="C551" s="2">
        <f>HYPERLINK("https://cao.dolgi.msk.ru/account/1050414038/", 1050414038)</f>
        <v>1050414038</v>
      </c>
      <c r="D551" s="4">
        <v>23307.37</v>
      </c>
      <c r="E551">
        <v>2.95</v>
      </c>
    </row>
    <row r="552" spans="1:5" x14ac:dyDescent="0.25">
      <c r="A552" t="s">
        <v>345</v>
      </c>
      <c r="B552" t="s">
        <v>194</v>
      </c>
      <c r="C552" s="2">
        <f>HYPERLINK("https://cao.dolgi.msk.ru/account/1050414185/", 1050414185)</f>
        <v>1050414185</v>
      </c>
      <c r="D552" s="4">
        <v>5994.62</v>
      </c>
      <c r="E552">
        <v>1.88</v>
      </c>
    </row>
    <row r="553" spans="1:5" x14ac:dyDescent="0.25">
      <c r="A553" t="s">
        <v>345</v>
      </c>
      <c r="B553" t="s">
        <v>207</v>
      </c>
      <c r="C553" s="2">
        <f>HYPERLINK("https://cao.dolgi.msk.ru/account/1050414468/", 1050414468)</f>
        <v>1050414468</v>
      </c>
      <c r="D553" s="4">
        <v>9236.15</v>
      </c>
      <c r="E553">
        <v>1.95</v>
      </c>
    </row>
    <row r="554" spans="1:5" x14ac:dyDescent="0.25">
      <c r="A554" t="s">
        <v>346</v>
      </c>
      <c r="B554" t="s">
        <v>14</v>
      </c>
      <c r="C554" s="2">
        <f>HYPERLINK("https://cao.dolgi.msk.ru/account/1050419883/", 1050419883)</f>
        <v>1050419883</v>
      </c>
      <c r="D554" s="4">
        <v>10217.67</v>
      </c>
      <c r="E554">
        <v>2.1</v>
      </c>
    </row>
    <row r="555" spans="1:5" x14ac:dyDescent="0.25">
      <c r="A555" t="s">
        <v>347</v>
      </c>
      <c r="B555" t="s">
        <v>6</v>
      </c>
      <c r="C555" s="2">
        <f>HYPERLINK("https://cao.dolgi.msk.ru/account/1050394209/", 1050394209)</f>
        <v>1050394209</v>
      </c>
      <c r="D555" s="4">
        <v>11367.82</v>
      </c>
      <c r="E555">
        <v>2.5099999999999998</v>
      </c>
    </row>
    <row r="556" spans="1:5" x14ac:dyDescent="0.25">
      <c r="A556" t="s">
        <v>347</v>
      </c>
      <c r="B556" t="s">
        <v>28</v>
      </c>
      <c r="C556" s="2">
        <f>HYPERLINK("https://cao.dolgi.msk.ru/account/1050394735/", 1050394735)</f>
        <v>1050394735</v>
      </c>
      <c r="D556" s="4">
        <v>13518.17</v>
      </c>
      <c r="E556">
        <v>2.35</v>
      </c>
    </row>
    <row r="557" spans="1:5" x14ac:dyDescent="0.25">
      <c r="A557" t="s">
        <v>347</v>
      </c>
      <c r="B557" t="s">
        <v>39</v>
      </c>
      <c r="C557" s="2">
        <f>HYPERLINK("https://cao.dolgi.msk.ru/account/1050395009/", 1050395009)</f>
        <v>1050395009</v>
      </c>
      <c r="D557" s="4">
        <v>266403.01</v>
      </c>
      <c r="E557">
        <v>30.97</v>
      </c>
    </row>
    <row r="558" spans="1:5" x14ac:dyDescent="0.25">
      <c r="A558" t="s">
        <v>347</v>
      </c>
      <c r="B558" t="s">
        <v>40</v>
      </c>
      <c r="C558" s="2">
        <f>HYPERLINK("https://cao.dolgi.msk.ru/account/1050395025/", 1050395025)</f>
        <v>1050395025</v>
      </c>
      <c r="D558" s="4">
        <v>120320.11</v>
      </c>
      <c r="E558">
        <v>37.04</v>
      </c>
    </row>
    <row r="559" spans="1:5" x14ac:dyDescent="0.25">
      <c r="A559" t="s">
        <v>347</v>
      </c>
      <c r="B559" t="s">
        <v>51</v>
      </c>
      <c r="C559" s="2">
        <f>HYPERLINK("https://cao.dolgi.msk.ru/account/1050395324/", 1050395324)</f>
        <v>1050395324</v>
      </c>
      <c r="D559" s="4">
        <v>15507.9</v>
      </c>
      <c r="E559">
        <v>2.92</v>
      </c>
    </row>
    <row r="560" spans="1:5" x14ac:dyDescent="0.25">
      <c r="A560" t="s">
        <v>347</v>
      </c>
      <c r="B560" t="s">
        <v>55</v>
      </c>
      <c r="C560" s="2">
        <f>HYPERLINK("https://cao.dolgi.msk.ru/account/1050395412/", 1050395412)</f>
        <v>1050395412</v>
      </c>
      <c r="D560" s="4">
        <v>5135.0600000000004</v>
      </c>
      <c r="E560">
        <v>1.01</v>
      </c>
    </row>
    <row r="561" spans="1:5" x14ac:dyDescent="0.25">
      <c r="A561" t="s">
        <v>347</v>
      </c>
      <c r="B561" t="s">
        <v>63</v>
      </c>
      <c r="C561" s="2">
        <f>HYPERLINK("https://cao.dolgi.msk.ru/account/1050395615/", 1050395615)</f>
        <v>1050395615</v>
      </c>
      <c r="D561" s="4">
        <v>13743.1</v>
      </c>
      <c r="E561">
        <v>1.97</v>
      </c>
    </row>
    <row r="562" spans="1:5" x14ac:dyDescent="0.25">
      <c r="A562" t="s">
        <v>347</v>
      </c>
      <c r="B562" t="s">
        <v>87</v>
      </c>
      <c r="C562" s="2">
        <f>HYPERLINK("https://cao.dolgi.msk.ru/account/1050396212/", 1050396212)</f>
        <v>1050396212</v>
      </c>
      <c r="D562" s="4">
        <v>86817.78</v>
      </c>
      <c r="E562">
        <v>7.82</v>
      </c>
    </row>
    <row r="563" spans="1:5" x14ac:dyDescent="0.25">
      <c r="A563" t="s">
        <v>347</v>
      </c>
      <c r="B563" t="s">
        <v>88</v>
      </c>
      <c r="C563" s="2">
        <f>HYPERLINK("https://cao.dolgi.msk.ru/account/1050396247/", 1050396247)</f>
        <v>1050396247</v>
      </c>
      <c r="D563" s="4">
        <v>8108.18</v>
      </c>
      <c r="E563">
        <v>2.04</v>
      </c>
    </row>
    <row r="564" spans="1:5" x14ac:dyDescent="0.25">
      <c r="A564" t="s">
        <v>347</v>
      </c>
      <c r="B564" t="s">
        <v>107</v>
      </c>
      <c r="C564" s="2">
        <f>HYPERLINK("https://cao.dolgi.msk.ru/account/1050396618/", 1050396618)</f>
        <v>1050396618</v>
      </c>
      <c r="D564" s="4">
        <v>8612.0400000000009</v>
      </c>
      <c r="E564">
        <v>1.96</v>
      </c>
    </row>
    <row r="565" spans="1:5" x14ac:dyDescent="0.25">
      <c r="A565" t="s">
        <v>347</v>
      </c>
      <c r="B565" t="s">
        <v>108</v>
      </c>
      <c r="C565" s="2">
        <f>HYPERLINK("https://cao.dolgi.msk.ru/account/1050396626/", 1050396626)</f>
        <v>1050396626</v>
      </c>
      <c r="D565" s="4">
        <v>6959.46</v>
      </c>
      <c r="E565">
        <v>1.66</v>
      </c>
    </row>
    <row r="566" spans="1:5" x14ac:dyDescent="0.25">
      <c r="A566" t="s">
        <v>347</v>
      </c>
      <c r="B566" t="s">
        <v>124</v>
      </c>
      <c r="C566" s="2">
        <f>HYPERLINK("https://cao.dolgi.msk.ru/account/1050397071/", 1050397071)</f>
        <v>1050397071</v>
      </c>
      <c r="D566" s="4">
        <v>10708.79</v>
      </c>
      <c r="E566">
        <v>1.8</v>
      </c>
    </row>
    <row r="567" spans="1:5" x14ac:dyDescent="0.25">
      <c r="A567" t="s">
        <v>348</v>
      </c>
      <c r="B567" t="s">
        <v>16</v>
      </c>
      <c r="C567" s="2">
        <f>HYPERLINK("https://cao.dolgi.msk.ru/account/1050414628/", 1050414628)</f>
        <v>1050414628</v>
      </c>
      <c r="D567" s="4">
        <v>16843.98</v>
      </c>
      <c r="E567">
        <v>2.99</v>
      </c>
    </row>
    <row r="568" spans="1:5" x14ac:dyDescent="0.25">
      <c r="A568" t="s">
        <v>348</v>
      </c>
      <c r="B568" t="s">
        <v>94</v>
      </c>
      <c r="C568" s="2">
        <f>HYPERLINK("https://cao.dolgi.msk.ru/account/1050415006/", 1050415006)</f>
        <v>1050415006</v>
      </c>
      <c r="D568" s="4">
        <v>10655.39</v>
      </c>
      <c r="E568">
        <v>2.93</v>
      </c>
    </row>
    <row r="569" spans="1:5" x14ac:dyDescent="0.25">
      <c r="A569" t="s">
        <v>348</v>
      </c>
      <c r="B569" t="s">
        <v>55</v>
      </c>
      <c r="C569" s="2">
        <f>HYPERLINK("https://cao.dolgi.msk.ru/account/1050415129/", 1050415129)</f>
        <v>1050415129</v>
      </c>
      <c r="D569" s="4">
        <v>16931.29</v>
      </c>
      <c r="E569">
        <v>2.94</v>
      </c>
    </row>
    <row r="570" spans="1:5" x14ac:dyDescent="0.25">
      <c r="A570" t="s">
        <v>348</v>
      </c>
      <c r="B570" t="s">
        <v>56</v>
      </c>
      <c r="C570" s="2">
        <f>HYPERLINK("https://cao.dolgi.msk.ru/account/1050415137/", 1050415137)</f>
        <v>1050415137</v>
      </c>
      <c r="D570" s="4">
        <v>20091.46</v>
      </c>
      <c r="E570">
        <v>2.88</v>
      </c>
    </row>
    <row r="571" spans="1:5" x14ac:dyDescent="0.25">
      <c r="A571" t="s">
        <v>348</v>
      </c>
      <c r="B571" t="s">
        <v>67</v>
      </c>
      <c r="C571" s="2">
        <f>HYPERLINK("https://cao.dolgi.msk.ru/account/1050415268/", 1050415268)</f>
        <v>1050415268</v>
      </c>
      <c r="D571" s="4">
        <v>9469.49</v>
      </c>
      <c r="E571">
        <v>1.22</v>
      </c>
    </row>
    <row r="572" spans="1:5" x14ac:dyDescent="0.25">
      <c r="A572" t="s">
        <v>348</v>
      </c>
      <c r="B572" t="s">
        <v>77</v>
      </c>
      <c r="C572" s="2">
        <f>HYPERLINK("https://cao.dolgi.msk.ru/account/1050415372/", 1050415372)</f>
        <v>1050415372</v>
      </c>
      <c r="D572" s="4">
        <v>8292.82</v>
      </c>
      <c r="E572">
        <v>1.61</v>
      </c>
    </row>
    <row r="573" spans="1:5" x14ac:dyDescent="0.25">
      <c r="A573" t="s">
        <v>348</v>
      </c>
      <c r="B573" t="s">
        <v>103</v>
      </c>
      <c r="C573" s="2">
        <f>HYPERLINK("https://cao.dolgi.msk.ru/account/1050415647/", 1050415647)</f>
        <v>1050415647</v>
      </c>
      <c r="D573" s="4">
        <v>9980.23</v>
      </c>
      <c r="E573">
        <v>2.2799999999999998</v>
      </c>
    </row>
    <row r="574" spans="1:5" x14ac:dyDescent="0.25">
      <c r="A574" t="s">
        <v>349</v>
      </c>
      <c r="B574" t="s">
        <v>13</v>
      </c>
      <c r="C574" s="2">
        <f>HYPERLINK("https://cao.dolgi.msk.ru/account/1050417677/", 1050417677)</f>
        <v>1050417677</v>
      </c>
      <c r="D574" s="4">
        <v>13264.63</v>
      </c>
      <c r="E574">
        <v>2.0099999999999998</v>
      </c>
    </row>
    <row r="575" spans="1:5" x14ac:dyDescent="0.25">
      <c r="A575" t="s">
        <v>349</v>
      </c>
      <c r="B575" t="s">
        <v>35</v>
      </c>
      <c r="C575" s="2">
        <f>HYPERLINK("https://cao.dolgi.msk.ru/account/1050417896/", 1050417896)</f>
        <v>1050417896</v>
      </c>
      <c r="D575" s="4">
        <v>28441.94</v>
      </c>
      <c r="E575">
        <v>2.92</v>
      </c>
    </row>
    <row r="576" spans="1:5" x14ac:dyDescent="0.25">
      <c r="A576" t="s">
        <v>349</v>
      </c>
      <c r="B576" t="s">
        <v>51</v>
      </c>
      <c r="C576" s="2">
        <f>HYPERLINK("https://cao.dolgi.msk.ru/account/1050418098/", 1050418098)</f>
        <v>1050418098</v>
      </c>
      <c r="D576" s="4">
        <v>92631.98</v>
      </c>
      <c r="E576">
        <v>23.9</v>
      </c>
    </row>
    <row r="577" spans="1:5" x14ac:dyDescent="0.25">
      <c r="A577" t="s">
        <v>349</v>
      </c>
      <c r="B577" t="s">
        <v>70</v>
      </c>
      <c r="C577" s="2">
        <f>HYPERLINK("https://cao.dolgi.msk.ru/account/1050418055/", 1050418055)</f>
        <v>1050418055</v>
      </c>
      <c r="D577" s="4">
        <v>159182.71</v>
      </c>
      <c r="E577">
        <v>16.32</v>
      </c>
    </row>
    <row r="578" spans="1:5" x14ac:dyDescent="0.25">
      <c r="A578" t="s">
        <v>349</v>
      </c>
      <c r="B578" t="s">
        <v>80</v>
      </c>
      <c r="C578" s="2">
        <f>HYPERLINK("https://cao.dolgi.msk.ru/account/1050418426/", 1050418426)</f>
        <v>1050418426</v>
      </c>
      <c r="D578" s="4">
        <v>36019.56</v>
      </c>
      <c r="E578">
        <v>8.2799999999999994</v>
      </c>
    </row>
    <row r="579" spans="1:5" x14ac:dyDescent="0.25">
      <c r="A579" t="s">
        <v>349</v>
      </c>
      <c r="B579" t="s">
        <v>91</v>
      </c>
      <c r="C579" s="2">
        <f>HYPERLINK("https://cao.dolgi.msk.ru/account/1050418557/", 1050418557)</f>
        <v>1050418557</v>
      </c>
      <c r="D579" s="4">
        <v>9041.58</v>
      </c>
      <c r="E579">
        <v>1.95</v>
      </c>
    </row>
    <row r="580" spans="1:5" x14ac:dyDescent="0.25">
      <c r="A580" t="s">
        <v>349</v>
      </c>
      <c r="B580" t="s">
        <v>97</v>
      </c>
      <c r="C580" s="2">
        <f>HYPERLINK("https://cao.dolgi.msk.ru/account/1050418573/", 1050418573)</f>
        <v>1050418573</v>
      </c>
      <c r="D580" s="4">
        <v>9801.2800000000007</v>
      </c>
      <c r="E580">
        <v>2.0099999999999998</v>
      </c>
    </row>
    <row r="581" spans="1:5" x14ac:dyDescent="0.25">
      <c r="A581" t="s">
        <v>349</v>
      </c>
      <c r="B581" t="s">
        <v>99</v>
      </c>
      <c r="C581" s="2">
        <f>HYPERLINK("https://cao.dolgi.msk.ru/account/1050418602/", 1050418602)</f>
        <v>1050418602</v>
      </c>
      <c r="D581" s="4">
        <v>27794.85</v>
      </c>
      <c r="E581">
        <v>3.47</v>
      </c>
    </row>
    <row r="582" spans="1:5" x14ac:dyDescent="0.25">
      <c r="A582" t="s">
        <v>349</v>
      </c>
      <c r="B582" t="s">
        <v>117</v>
      </c>
      <c r="C582" s="2">
        <f>HYPERLINK("https://cao.dolgi.msk.ru/account/1050418805/", 1050418805)</f>
        <v>1050418805</v>
      </c>
      <c r="D582" s="4">
        <v>8834.14</v>
      </c>
      <c r="E582">
        <v>1.69</v>
      </c>
    </row>
    <row r="583" spans="1:5" x14ac:dyDescent="0.25">
      <c r="A583" t="s">
        <v>349</v>
      </c>
      <c r="B583" t="s">
        <v>137</v>
      </c>
      <c r="C583" s="2">
        <f>HYPERLINK("https://cao.dolgi.msk.ru/account/1050418821/", 1050418821)</f>
        <v>1050418821</v>
      </c>
      <c r="D583" s="4">
        <v>9565.52</v>
      </c>
      <c r="E583">
        <v>1.94</v>
      </c>
    </row>
    <row r="584" spans="1:5" x14ac:dyDescent="0.25">
      <c r="A584" t="s">
        <v>350</v>
      </c>
      <c r="B584" t="s">
        <v>10</v>
      </c>
      <c r="C584" s="2">
        <f>HYPERLINK("https://cao.dolgi.msk.ru/account/1050375235/", 1050375235)</f>
        <v>1050375235</v>
      </c>
      <c r="D584" s="4">
        <v>5194.2700000000004</v>
      </c>
      <c r="E584">
        <v>1.03</v>
      </c>
    </row>
    <row r="585" spans="1:5" x14ac:dyDescent="0.25">
      <c r="A585" t="s">
        <v>350</v>
      </c>
      <c r="B585" t="s">
        <v>13</v>
      </c>
      <c r="C585" s="2">
        <f>HYPERLINK("https://cao.dolgi.msk.ru/account/1050375331/", 1050375331)</f>
        <v>1050375331</v>
      </c>
      <c r="D585" s="4">
        <v>33705.620000000003</v>
      </c>
      <c r="E585">
        <v>5.05</v>
      </c>
    </row>
    <row r="586" spans="1:5" x14ac:dyDescent="0.25">
      <c r="A586" t="s">
        <v>350</v>
      </c>
      <c r="B586" t="s">
        <v>19</v>
      </c>
      <c r="C586" s="2">
        <f>HYPERLINK("https://cao.dolgi.msk.ru/account/1050375569/", 1050375569)</f>
        <v>1050375569</v>
      </c>
      <c r="D586" s="4">
        <v>233811.59</v>
      </c>
      <c r="E586">
        <v>34.840000000000003</v>
      </c>
    </row>
    <row r="587" spans="1:5" x14ac:dyDescent="0.25">
      <c r="A587" t="s">
        <v>350</v>
      </c>
      <c r="B587" t="s">
        <v>22</v>
      </c>
      <c r="C587" s="2">
        <f>HYPERLINK("https://cao.dolgi.msk.ru/account/1050375681/", 1050375681)</f>
        <v>1050375681</v>
      </c>
      <c r="D587" s="4">
        <v>10333.92</v>
      </c>
      <c r="E587">
        <v>2</v>
      </c>
    </row>
    <row r="588" spans="1:5" x14ac:dyDescent="0.25">
      <c r="A588" t="s">
        <v>350</v>
      </c>
      <c r="B588" t="s">
        <v>36</v>
      </c>
      <c r="C588" s="2">
        <f>HYPERLINK("https://cao.dolgi.msk.ru/account/1050376027/", 1050376027)</f>
        <v>1050376027</v>
      </c>
      <c r="D588" s="4">
        <v>11541.25</v>
      </c>
      <c r="E588">
        <v>1.68</v>
      </c>
    </row>
    <row r="589" spans="1:5" x14ac:dyDescent="0.25">
      <c r="A589" t="s">
        <v>350</v>
      </c>
      <c r="B589" t="s">
        <v>42</v>
      </c>
      <c r="C589" s="2">
        <f>HYPERLINK("https://cao.dolgi.msk.ru/account/1050376211/", 1050376211)</f>
        <v>1050376211</v>
      </c>
      <c r="D589" s="4">
        <v>19006.54</v>
      </c>
      <c r="E589">
        <v>3.33</v>
      </c>
    </row>
    <row r="590" spans="1:5" x14ac:dyDescent="0.25">
      <c r="A590" t="s">
        <v>350</v>
      </c>
      <c r="B590" t="s">
        <v>44</v>
      </c>
      <c r="C590" s="2">
        <f>HYPERLINK("https://cao.dolgi.msk.ru/account/1050376254/", 1050376254)</f>
        <v>1050376254</v>
      </c>
      <c r="D590" s="4">
        <v>9770.26</v>
      </c>
      <c r="E590">
        <v>1.94</v>
      </c>
    </row>
    <row r="591" spans="1:5" x14ac:dyDescent="0.25">
      <c r="A591" t="s">
        <v>350</v>
      </c>
      <c r="B591" t="s">
        <v>60</v>
      </c>
      <c r="C591" s="2">
        <f>HYPERLINK("https://cao.dolgi.msk.ru/account/1050376705/", 1050376705)</f>
        <v>1050376705</v>
      </c>
      <c r="D591" s="4">
        <v>14303.9</v>
      </c>
      <c r="E591">
        <v>2.9</v>
      </c>
    </row>
    <row r="592" spans="1:5" x14ac:dyDescent="0.25">
      <c r="A592" t="s">
        <v>350</v>
      </c>
      <c r="B592" t="s">
        <v>116</v>
      </c>
      <c r="C592" s="2">
        <f>HYPERLINK("https://cao.dolgi.msk.ru/account/1050377759/", 1050377759)</f>
        <v>1050377759</v>
      </c>
      <c r="D592" s="4">
        <v>11577.34</v>
      </c>
      <c r="E592">
        <v>1.93</v>
      </c>
    </row>
    <row r="593" spans="1:5" x14ac:dyDescent="0.25">
      <c r="A593" t="s">
        <v>350</v>
      </c>
      <c r="B593" t="s">
        <v>138</v>
      </c>
      <c r="C593" s="2">
        <f>HYPERLINK("https://cao.dolgi.msk.ru/account/1050378209/", 1050378209)</f>
        <v>1050378209</v>
      </c>
      <c r="D593" s="4">
        <v>7083.61</v>
      </c>
      <c r="E593">
        <v>1.95</v>
      </c>
    </row>
    <row r="594" spans="1:5" x14ac:dyDescent="0.25">
      <c r="A594" t="s">
        <v>351</v>
      </c>
      <c r="B594" t="s">
        <v>199</v>
      </c>
      <c r="C594" s="2">
        <f>HYPERLINK("https://cao.dolgi.msk.ru/account/1050379922/", 1050379922)</f>
        <v>1050379922</v>
      </c>
      <c r="D594" s="4">
        <v>15400.53</v>
      </c>
      <c r="E594">
        <v>1.96</v>
      </c>
    </row>
    <row r="595" spans="1:5" x14ac:dyDescent="0.25">
      <c r="A595" t="s">
        <v>351</v>
      </c>
      <c r="B595" t="s">
        <v>201</v>
      </c>
      <c r="C595" s="2">
        <f>HYPERLINK("https://cao.dolgi.msk.ru/account/1050379973/", 1050379973)</f>
        <v>1050379973</v>
      </c>
      <c r="D595" s="4">
        <v>7169.93</v>
      </c>
      <c r="E595">
        <v>1.05</v>
      </c>
    </row>
    <row r="596" spans="1:5" x14ac:dyDescent="0.25">
      <c r="A596" t="s">
        <v>352</v>
      </c>
      <c r="B596" t="s">
        <v>153</v>
      </c>
      <c r="C596" s="2">
        <f>HYPERLINK("https://cao.dolgi.msk.ru/account/1050378583/", 1050378583)</f>
        <v>1050378583</v>
      </c>
      <c r="D596" s="4">
        <v>8955.07</v>
      </c>
      <c r="E596">
        <v>1.1000000000000001</v>
      </c>
    </row>
    <row r="597" spans="1:5" x14ac:dyDescent="0.25">
      <c r="A597" t="s">
        <v>352</v>
      </c>
      <c r="B597" t="s">
        <v>169</v>
      </c>
      <c r="C597" s="2">
        <f>HYPERLINK("https://cao.dolgi.msk.ru/account/1050379287/", 1050379287)</f>
        <v>1050379287</v>
      </c>
      <c r="D597" s="4">
        <v>10967.03</v>
      </c>
      <c r="E597">
        <v>1.64</v>
      </c>
    </row>
    <row r="598" spans="1:5" x14ac:dyDescent="0.25">
      <c r="A598" t="s">
        <v>352</v>
      </c>
      <c r="B598" t="s">
        <v>175</v>
      </c>
      <c r="C598" s="2">
        <f>HYPERLINK("https://cao.dolgi.msk.ru/account/1050379471/", 1050379471)</f>
        <v>1050379471</v>
      </c>
      <c r="D598" s="4">
        <v>11148.4</v>
      </c>
      <c r="E598">
        <v>1.41</v>
      </c>
    </row>
    <row r="599" spans="1:5" x14ac:dyDescent="0.25">
      <c r="A599" t="s">
        <v>352</v>
      </c>
      <c r="B599" t="s">
        <v>177</v>
      </c>
      <c r="C599" s="2">
        <f>HYPERLINK("https://cao.dolgi.msk.ru/account/1058010329/", 1058010329)</f>
        <v>1058010329</v>
      </c>
      <c r="D599" s="4">
        <v>17404.419999999998</v>
      </c>
      <c r="E599">
        <v>1.95</v>
      </c>
    </row>
    <row r="600" spans="1:5" x14ac:dyDescent="0.25">
      <c r="A600" t="s">
        <v>352</v>
      </c>
      <c r="B600" t="s">
        <v>194</v>
      </c>
      <c r="C600" s="2">
        <f>HYPERLINK("https://cao.dolgi.msk.ru/account/1050379834/", 1050379834)</f>
        <v>1050379834</v>
      </c>
      <c r="D600" s="4">
        <v>14764.96</v>
      </c>
      <c r="E600">
        <v>1.99</v>
      </c>
    </row>
    <row r="601" spans="1:5" x14ac:dyDescent="0.25">
      <c r="A601" t="s">
        <v>353</v>
      </c>
      <c r="B601" t="s">
        <v>7</v>
      </c>
      <c r="C601" s="2">
        <f>HYPERLINK("https://cao.dolgi.msk.ru/account/1050380528/", 1050380528)</f>
        <v>1050380528</v>
      </c>
      <c r="D601" s="4">
        <v>13273.96</v>
      </c>
      <c r="E601">
        <v>5.1100000000000003</v>
      </c>
    </row>
    <row r="602" spans="1:5" x14ac:dyDescent="0.25">
      <c r="A602" t="s">
        <v>353</v>
      </c>
      <c r="B602" t="s">
        <v>13</v>
      </c>
      <c r="C602" s="2">
        <f>HYPERLINK("https://cao.dolgi.msk.ru/account/1050380739/", 1050380739)</f>
        <v>1050380739</v>
      </c>
      <c r="D602" s="4">
        <v>17468.04</v>
      </c>
      <c r="E602">
        <v>1.85</v>
      </c>
    </row>
    <row r="603" spans="1:5" x14ac:dyDescent="0.25">
      <c r="A603" t="s">
        <v>353</v>
      </c>
      <c r="B603" t="s">
        <v>29</v>
      </c>
      <c r="C603" s="2">
        <f>HYPERLINK("https://cao.dolgi.msk.ru/account/1050381045/", 1050381045)</f>
        <v>1050381045</v>
      </c>
      <c r="D603" s="4">
        <v>29773.81</v>
      </c>
      <c r="E603">
        <v>3.02</v>
      </c>
    </row>
    <row r="604" spans="1:5" x14ac:dyDescent="0.25">
      <c r="A604" t="s">
        <v>353</v>
      </c>
      <c r="B604" t="s">
        <v>42</v>
      </c>
      <c r="C604" s="2">
        <f>HYPERLINK("https://cao.dolgi.msk.ru/account/1050381256/", 1050381256)</f>
        <v>1050381256</v>
      </c>
      <c r="D604" s="4">
        <v>10563.01</v>
      </c>
      <c r="E604">
        <v>1.94</v>
      </c>
    </row>
    <row r="605" spans="1:5" x14ac:dyDescent="0.25">
      <c r="A605" t="s">
        <v>353</v>
      </c>
      <c r="B605" t="s">
        <v>45</v>
      </c>
      <c r="C605" s="2">
        <f>HYPERLINK("https://cao.dolgi.msk.ru/account/1050381299/", 1050381299)</f>
        <v>1050381299</v>
      </c>
      <c r="D605" s="4">
        <v>13433.43</v>
      </c>
      <c r="E605">
        <v>1.93</v>
      </c>
    </row>
    <row r="606" spans="1:5" x14ac:dyDescent="0.25">
      <c r="A606" t="s">
        <v>353</v>
      </c>
      <c r="B606" t="s">
        <v>52</v>
      </c>
      <c r="C606" s="2">
        <f>HYPERLINK("https://cao.dolgi.msk.ru/account/1050381512/", 1050381512)</f>
        <v>1050381512</v>
      </c>
      <c r="D606" s="4">
        <v>8125.24</v>
      </c>
      <c r="E606">
        <v>1.1399999999999999</v>
      </c>
    </row>
    <row r="607" spans="1:5" x14ac:dyDescent="0.25">
      <c r="A607" t="s">
        <v>353</v>
      </c>
      <c r="B607" t="s">
        <v>54</v>
      </c>
      <c r="C607" s="2">
        <f>HYPERLINK("https://cao.dolgi.msk.ru/account/1050381598/", 1050381598)</f>
        <v>1050381598</v>
      </c>
      <c r="D607" s="4">
        <v>11451.52</v>
      </c>
      <c r="E607">
        <v>1.1200000000000001</v>
      </c>
    </row>
    <row r="608" spans="1:5" x14ac:dyDescent="0.25">
      <c r="A608" t="s">
        <v>354</v>
      </c>
      <c r="B608" t="s">
        <v>20</v>
      </c>
      <c r="C608" s="2">
        <f>HYPERLINK("https://cao.dolgi.msk.ru/account/1058011938/", 1058011938)</f>
        <v>1058011938</v>
      </c>
      <c r="D608" s="4">
        <v>27286.09</v>
      </c>
      <c r="E608">
        <v>7.91</v>
      </c>
    </row>
    <row r="609" spans="1:5" x14ac:dyDescent="0.25">
      <c r="A609" t="s">
        <v>354</v>
      </c>
      <c r="B609" t="s">
        <v>60</v>
      </c>
      <c r="C609" s="2">
        <f>HYPERLINK("https://cao.dolgi.msk.ru/account/1058013108/", 1058013108)</f>
        <v>1058013108</v>
      </c>
      <c r="D609" s="4">
        <v>221188.75</v>
      </c>
      <c r="E609">
        <v>38.28</v>
      </c>
    </row>
    <row r="610" spans="1:5" x14ac:dyDescent="0.25">
      <c r="A610" t="s">
        <v>354</v>
      </c>
      <c r="B610" t="s">
        <v>64</v>
      </c>
      <c r="C610" s="2">
        <f>HYPERLINK("https://cao.dolgi.msk.ru/account/1058013159/", 1058013159)</f>
        <v>1058013159</v>
      </c>
      <c r="D610" s="4">
        <v>12321.9</v>
      </c>
      <c r="E610">
        <v>1.89</v>
      </c>
    </row>
    <row r="611" spans="1:5" x14ac:dyDescent="0.25">
      <c r="A611" t="s">
        <v>354</v>
      </c>
      <c r="B611" t="s">
        <v>80</v>
      </c>
      <c r="C611" s="2">
        <f>HYPERLINK("https://cao.dolgi.msk.ru/account/1058013343/", 1058013343)</f>
        <v>1058013343</v>
      </c>
      <c r="D611" s="4">
        <v>10993.32</v>
      </c>
      <c r="E611">
        <v>2.12</v>
      </c>
    </row>
    <row r="612" spans="1:5" x14ac:dyDescent="0.25">
      <c r="A612" t="s">
        <v>355</v>
      </c>
      <c r="B612" t="s">
        <v>13</v>
      </c>
      <c r="C612" s="2">
        <f>HYPERLINK("https://cao.dolgi.msk.ru/account/1050396335/", 1050396335)</f>
        <v>1050396335</v>
      </c>
      <c r="D612" s="4">
        <v>14667.2</v>
      </c>
      <c r="E612">
        <v>2.98</v>
      </c>
    </row>
    <row r="613" spans="1:5" x14ac:dyDescent="0.25">
      <c r="A613" t="s">
        <v>355</v>
      </c>
      <c r="B613" t="s">
        <v>15</v>
      </c>
      <c r="C613" s="2">
        <f>HYPERLINK("https://cao.dolgi.msk.ru/account/1050396386/", 1050396386)</f>
        <v>1050396386</v>
      </c>
      <c r="D613" s="4">
        <v>6005.34</v>
      </c>
      <c r="E613">
        <v>1.85</v>
      </c>
    </row>
    <row r="614" spans="1:5" x14ac:dyDescent="0.25">
      <c r="A614" t="s">
        <v>355</v>
      </c>
      <c r="B614" t="s">
        <v>39</v>
      </c>
      <c r="C614" s="2">
        <f>HYPERLINK("https://cao.dolgi.msk.ru/account/1050396992/", 1050396992)</f>
        <v>1050396992</v>
      </c>
      <c r="D614" s="4">
        <v>7093.11</v>
      </c>
      <c r="E614">
        <v>2.0099999999999998</v>
      </c>
    </row>
    <row r="615" spans="1:5" x14ac:dyDescent="0.25">
      <c r="A615" t="s">
        <v>355</v>
      </c>
      <c r="B615" t="s">
        <v>40</v>
      </c>
      <c r="C615" s="2">
        <f>HYPERLINK("https://cao.dolgi.msk.ru/account/1050397012/", 1050397012)</f>
        <v>1050397012</v>
      </c>
      <c r="D615" s="4">
        <v>19134.060000000001</v>
      </c>
      <c r="E615">
        <v>2</v>
      </c>
    </row>
    <row r="616" spans="1:5" x14ac:dyDescent="0.25">
      <c r="A616" t="s">
        <v>355</v>
      </c>
      <c r="B616" t="s">
        <v>94</v>
      </c>
      <c r="C616" s="2">
        <f>HYPERLINK("https://cao.dolgi.msk.ru/account/1050397215/", 1050397215)</f>
        <v>1050397215</v>
      </c>
      <c r="D616" s="4">
        <v>12385.4</v>
      </c>
      <c r="E616">
        <v>1.3</v>
      </c>
    </row>
    <row r="617" spans="1:5" x14ac:dyDescent="0.25">
      <c r="A617" t="s">
        <v>355</v>
      </c>
      <c r="B617" t="s">
        <v>73</v>
      </c>
      <c r="C617" s="2">
        <f>HYPERLINK("https://cao.dolgi.msk.ru/account/1050397661/", 1050397661)</f>
        <v>1050397661</v>
      </c>
      <c r="D617" s="4">
        <v>29290.37</v>
      </c>
      <c r="E617">
        <v>4.67</v>
      </c>
    </row>
    <row r="618" spans="1:5" x14ac:dyDescent="0.25">
      <c r="A618" t="s">
        <v>356</v>
      </c>
      <c r="B618" t="s">
        <v>12</v>
      </c>
      <c r="C618" s="2">
        <f>HYPERLINK("https://cao.dolgi.msk.ru/account/1050397733/", 1050397733)</f>
        <v>1050397733</v>
      </c>
      <c r="D618" s="4">
        <v>6075.36</v>
      </c>
      <c r="E618">
        <v>1.0900000000000001</v>
      </c>
    </row>
    <row r="619" spans="1:5" x14ac:dyDescent="0.25">
      <c r="A619" t="s">
        <v>356</v>
      </c>
      <c r="B619" t="s">
        <v>15</v>
      </c>
      <c r="C619" s="2">
        <f>HYPERLINK("https://cao.dolgi.msk.ru/account/1050397776/", 1050397776)</f>
        <v>1050397776</v>
      </c>
      <c r="D619" s="4">
        <v>5527.61</v>
      </c>
      <c r="E619">
        <v>1.55</v>
      </c>
    </row>
    <row r="620" spans="1:5" x14ac:dyDescent="0.25">
      <c r="A620" t="s">
        <v>356</v>
      </c>
      <c r="B620" t="s">
        <v>26</v>
      </c>
      <c r="C620" s="2">
        <f>HYPERLINK("https://cao.dolgi.msk.ru/account/1050397899/", 1050397899)</f>
        <v>1050397899</v>
      </c>
      <c r="D620" s="4">
        <v>6659.36</v>
      </c>
      <c r="E620">
        <v>2.0099999999999998</v>
      </c>
    </row>
    <row r="621" spans="1:5" x14ac:dyDescent="0.25">
      <c r="A621" t="s">
        <v>356</v>
      </c>
      <c r="B621" t="s">
        <v>29</v>
      </c>
      <c r="C621" s="2">
        <f>HYPERLINK("https://cao.dolgi.msk.ru/account/1050397944/", 1050397944)</f>
        <v>1050397944</v>
      </c>
      <c r="D621" s="4">
        <v>19123.830000000002</v>
      </c>
      <c r="E621">
        <v>3</v>
      </c>
    </row>
    <row r="622" spans="1:5" x14ac:dyDescent="0.25">
      <c r="A622" t="s">
        <v>356</v>
      </c>
      <c r="B622" t="s">
        <v>32</v>
      </c>
      <c r="C622" s="2">
        <f>HYPERLINK("https://cao.dolgi.msk.ru/account/1050397987/", 1050397987)</f>
        <v>1050397987</v>
      </c>
      <c r="D622" s="4">
        <v>155490.23999999999</v>
      </c>
      <c r="E622">
        <v>20.9</v>
      </c>
    </row>
    <row r="623" spans="1:5" x14ac:dyDescent="0.25">
      <c r="A623" t="s">
        <v>357</v>
      </c>
      <c r="B623" t="s">
        <v>26</v>
      </c>
      <c r="C623" s="2">
        <f>HYPERLINK("https://cao.dolgi.msk.ru/account/1050398779/", 1050398779)</f>
        <v>1050398779</v>
      </c>
      <c r="D623" s="4">
        <v>113114.02</v>
      </c>
      <c r="E623">
        <v>40.42</v>
      </c>
    </row>
    <row r="624" spans="1:5" x14ac:dyDescent="0.25">
      <c r="A624" t="s">
        <v>357</v>
      </c>
      <c r="B624" t="s">
        <v>71</v>
      </c>
      <c r="C624" s="2">
        <f>HYPERLINK("https://cao.dolgi.msk.ru/account/1058149347/", 1058149347)</f>
        <v>1058149347</v>
      </c>
      <c r="D624" s="4">
        <v>51739.71</v>
      </c>
      <c r="E624">
        <v>16.41</v>
      </c>
    </row>
    <row r="625" spans="1:5" x14ac:dyDescent="0.25">
      <c r="A625" t="s">
        <v>358</v>
      </c>
      <c r="B625" t="s">
        <v>23</v>
      </c>
      <c r="C625" s="2">
        <f>HYPERLINK("https://cao.dolgi.msk.ru/account/1050399595/", 1050399595)</f>
        <v>1050399595</v>
      </c>
      <c r="D625" s="4">
        <v>29966.91</v>
      </c>
      <c r="E625">
        <v>2.99</v>
      </c>
    </row>
    <row r="626" spans="1:5" x14ac:dyDescent="0.25">
      <c r="A626" t="s">
        <v>358</v>
      </c>
      <c r="B626" t="s">
        <v>30</v>
      </c>
      <c r="C626" s="2">
        <f>HYPERLINK("https://cao.dolgi.msk.ru/account/1050399667/", 1050399667)</f>
        <v>1050399667</v>
      </c>
      <c r="D626" s="4">
        <v>13549.94</v>
      </c>
      <c r="E626">
        <v>2.92</v>
      </c>
    </row>
    <row r="627" spans="1:5" x14ac:dyDescent="0.25">
      <c r="A627" t="s">
        <v>358</v>
      </c>
      <c r="B627" t="s">
        <v>38</v>
      </c>
      <c r="C627" s="2">
        <f>HYPERLINK("https://cao.dolgi.msk.ru/account/1050399755/", 1050399755)</f>
        <v>1050399755</v>
      </c>
      <c r="D627" s="4">
        <v>9189.06</v>
      </c>
      <c r="E627">
        <v>2.06</v>
      </c>
    </row>
    <row r="628" spans="1:5" x14ac:dyDescent="0.25">
      <c r="A628" t="s">
        <v>358</v>
      </c>
      <c r="B628" t="s">
        <v>51</v>
      </c>
      <c r="C628" s="2">
        <f>HYPERLINK("https://cao.dolgi.msk.ru/account/1050399931/", 1050399931)</f>
        <v>1050399931</v>
      </c>
      <c r="D628" s="4">
        <v>9213</v>
      </c>
      <c r="E628">
        <v>2.35</v>
      </c>
    </row>
    <row r="629" spans="1:5" x14ac:dyDescent="0.25">
      <c r="A629" t="s">
        <v>358</v>
      </c>
      <c r="B629" t="s">
        <v>59</v>
      </c>
      <c r="C629" s="2">
        <f>HYPERLINK("https://cao.dolgi.msk.ru/account/1050400031/", 1050400031)</f>
        <v>1050400031</v>
      </c>
      <c r="D629" s="4">
        <v>59701.89</v>
      </c>
      <c r="E629">
        <v>9.6199999999999992</v>
      </c>
    </row>
    <row r="630" spans="1:5" x14ac:dyDescent="0.25">
      <c r="A630" t="s">
        <v>359</v>
      </c>
      <c r="B630" t="s">
        <v>31</v>
      </c>
      <c r="C630" s="2">
        <f>HYPERLINK("https://cao.dolgi.msk.ru/account/1050401122/", 1050401122)</f>
        <v>1050401122</v>
      </c>
      <c r="D630" s="4">
        <v>165574.25</v>
      </c>
      <c r="E630">
        <v>37.81</v>
      </c>
    </row>
    <row r="631" spans="1:5" x14ac:dyDescent="0.25">
      <c r="A631" t="s">
        <v>359</v>
      </c>
      <c r="B631" t="s">
        <v>95</v>
      </c>
      <c r="C631" s="2">
        <f>HYPERLINK("https://cao.dolgi.msk.ru/account/1050401341/", 1050401341)</f>
        <v>1050401341</v>
      </c>
      <c r="D631" s="4">
        <v>14328.03</v>
      </c>
      <c r="E631">
        <v>1.99</v>
      </c>
    </row>
    <row r="632" spans="1:5" x14ac:dyDescent="0.25">
      <c r="A632" t="s">
        <v>359</v>
      </c>
      <c r="B632" t="s">
        <v>49</v>
      </c>
      <c r="C632" s="2">
        <f>HYPERLINK("https://cao.dolgi.msk.ru/account/1050401376/", 1050401376)</f>
        <v>1050401376</v>
      </c>
      <c r="D632" s="4">
        <v>185702.57</v>
      </c>
      <c r="E632">
        <v>19.600000000000001</v>
      </c>
    </row>
    <row r="633" spans="1:5" x14ac:dyDescent="0.25">
      <c r="A633" t="s">
        <v>359</v>
      </c>
      <c r="B633" t="s">
        <v>51</v>
      </c>
      <c r="C633" s="2">
        <f>HYPERLINK("https://cao.dolgi.msk.ru/account/1050401392/", 1050401392)</f>
        <v>1050401392</v>
      </c>
      <c r="D633" s="4">
        <v>9100.6200000000008</v>
      </c>
      <c r="E633">
        <v>1.97</v>
      </c>
    </row>
    <row r="634" spans="1:5" x14ac:dyDescent="0.25">
      <c r="A634" t="s">
        <v>359</v>
      </c>
      <c r="B634" t="s">
        <v>65</v>
      </c>
      <c r="C634" s="2">
        <f>HYPERLINK("https://cao.dolgi.msk.ru/account/1058156678/", 1058156678)</f>
        <v>1058156678</v>
      </c>
      <c r="D634" s="4">
        <v>17959.169999999998</v>
      </c>
      <c r="E634">
        <v>2.98</v>
      </c>
    </row>
    <row r="635" spans="1:5" x14ac:dyDescent="0.25">
      <c r="A635" t="s">
        <v>360</v>
      </c>
      <c r="B635" t="s">
        <v>7</v>
      </c>
      <c r="C635" s="2">
        <f>HYPERLINK("https://cao.dolgi.msk.ru/account/1050400162/", 1050400162)</f>
        <v>1050400162</v>
      </c>
      <c r="D635" s="4">
        <v>8199.9500000000007</v>
      </c>
      <c r="E635">
        <v>1.89</v>
      </c>
    </row>
    <row r="636" spans="1:5" x14ac:dyDescent="0.25">
      <c r="A636" t="s">
        <v>360</v>
      </c>
      <c r="B636" t="s">
        <v>9</v>
      </c>
      <c r="C636" s="2">
        <f>HYPERLINK("https://cao.dolgi.msk.ru/account/1050400197/", 1050400197)</f>
        <v>1050400197</v>
      </c>
      <c r="D636" s="4">
        <v>12063.58</v>
      </c>
      <c r="E636">
        <v>2</v>
      </c>
    </row>
    <row r="637" spans="1:5" x14ac:dyDescent="0.25">
      <c r="A637" t="s">
        <v>360</v>
      </c>
      <c r="B637" t="s">
        <v>16</v>
      </c>
      <c r="C637" s="2">
        <f>HYPERLINK("https://cao.dolgi.msk.ru/account/1050400293/", 1050400293)</f>
        <v>1050400293</v>
      </c>
      <c r="D637" s="4">
        <v>26180.99</v>
      </c>
      <c r="E637">
        <v>3.88</v>
      </c>
    </row>
    <row r="638" spans="1:5" x14ac:dyDescent="0.25">
      <c r="A638" t="s">
        <v>360</v>
      </c>
      <c r="B638" t="s">
        <v>19</v>
      </c>
      <c r="C638" s="2">
        <f>HYPERLINK("https://cao.dolgi.msk.ru/account/1050400349/", 1050400349)</f>
        <v>1050400349</v>
      </c>
      <c r="D638" s="4">
        <v>9089.36</v>
      </c>
      <c r="E638">
        <v>1.99</v>
      </c>
    </row>
    <row r="639" spans="1:5" x14ac:dyDescent="0.25">
      <c r="A639" t="s">
        <v>360</v>
      </c>
      <c r="B639" t="s">
        <v>26</v>
      </c>
      <c r="C639" s="2">
        <f>HYPERLINK("https://cao.dolgi.msk.ru/account/1050400429/", 1050400429)</f>
        <v>1050400429</v>
      </c>
      <c r="D639" s="4">
        <v>9126</v>
      </c>
      <c r="E639">
        <v>2</v>
      </c>
    </row>
    <row r="640" spans="1:5" x14ac:dyDescent="0.25">
      <c r="A640" t="s">
        <v>360</v>
      </c>
      <c r="B640" t="s">
        <v>55</v>
      </c>
      <c r="C640" s="2">
        <f>HYPERLINK("https://cao.dolgi.msk.ru/account/1050400795/", 1050400795)</f>
        <v>1050400795</v>
      </c>
      <c r="D640" s="4">
        <v>14069.13</v>
      </c>
      <c r="E640">
        <v>3.09</v>
      </c>
    </row>
    <row r="641" spans="1:5" x14ac:dyDescent="0.25">
      <c r="A641" t="s">
        <v>360</v>
      </c>
      <c r="B641" t="s">
        <v>58</v>
      </c>
      <c r="C641" s="2">
        <f>HYPERLINK("https://cao.dolgi.msk.ru/account/1050400824/", 1050400824)</f>
        <v>1050400824</v>
      </c>
      <c r="D641" s="4">
        <v>8950.2199999999993</v>
      </c>
      <c r="E641">
        <v>2.13</v>
      </c>
    </row>
    <row r="642" spans="1:5" x14ac:dyDescent="0.25">
      <c r="A642" t="s">
        <v>361</v>
      </c>
      <c r="B642" t="s">
        <v>28</v>
      </c>
      <c r="C642" s="2">
        <f>HYPERLINK("https://cao.dolgi.msk.ru/account/1058019577/", 1058019577)</f>
        <v>1058019577</v>
      </c>
      <c r="D642" s="4">
        <v>19417.91</v>
      </c>
      <c r="E642">
        <v>1.99</v>
      </c>
    </row>
    <row r="643" spans="1:5" x14ac:dyDescent="0.25">
      <c r="A643" t="s">
        <v>361</v>
      </c>
      <c r="B643" t="s">
        <v>54</v>
      </c>
      <c r="C643" s="2">
        <f>HYPERLINK("https://cao.dolgi.msk.ru/account/1056045333/", 1056045333)</f>
        <v>1056045333</v>
      </c>
      <c r="D643" s="4">
        <v>10522.97</v>
      </c>
      <c r="E643">
        <v>1.03</v>
      </c>
    </row>
    <row r="644" spans="1:5" x14ac:dyDescent="0.25">
      <c r="A644" t="s">
        <v>361</v>
      </c>
      <c r="B644" t="s">
        <v>67</v>
      </c>
      <c r="C644" s="2">
        <f>HYPERLINK("https://cao.dolgi.msk.ru/account/1056045501/", 1056045501)</f>
        <v>1056045501</v>
      </c>
      <c r="D644" s="4">
        <v>22558.54</v>
      </c>
      <c r="E644">
        <v>1.99</v>
      </c>
    </row>
    <row r="645" spans="1:5" x14ac:dyDescent="0.25">
      <c r="A645" t="s">
        <v>361</v>
      </c>
      <c r="B645" t="s">
        <v>79</v>
      </c>
      <c r="C645" s="2">
        <f>HYPERLINK("https://cao.dolgi.msk.ru/account/1056045659/", 1056045659)</f>
        <v>1056045659</v>
      </c>
      <c r="D645" s="4">
        <v>18535.59</v>
      </c>
      <c r="E645">
        <v>2</v>
      </c>
    </row>
    <row r="646" spans="1:5" x14ac:dyDescent="0.25">
      <c r="A646" t="s">
        <v>361</v>
      </c>
      <c r="B646" t="s">
        <v>82</v>
      </c>
      <c r="C646" s="2">
        <f>HYPERLINK("https://cao.dolgi.msk.ru/account/1056045683/", 1056045683)</f>
        <v>1056045683</v>
      </c>
      <c r="D646" s="4">
        <v>26570.41</v>
      </c>
      <c r="E646">
        <v>1.84</v>
      </c>
    </row>
    <row r="647" spans="1:5" x14ac:dyDescent="0.25">
      <c r="A647" t="s">
        <v>361</v>
      </c>
      <c r="B647" t="s">
        <v>83</v>
      </c>
      <c r="C647" s="2">
        <f>HYPERLINK("https://cao.dolgi.msk.ru/account/1056045691/", 1056045691)</f>
        <v>1056045691</v>
      </c>
      <c r="D647" s="4">
        <v>13832.51</v>
      </c>
      <c r="E647">
        <v>1.91</v>
      </c>
    </row>
    <row r="648" spans="1:5" x14ac:dyDescent="0.25">
      <c r="A648" t="s">
        <v>361</v>
      </c>
      <c r="B648" t="s">
        <v>87</v>
      </c>
      <c r="C648" s="2">
        <f>HYPERLINK("https://cao.dolgi.msk.ru/account/1056045739/", 1056045739)</f>
        <v>1056045739</v>
      </c>
      <c r="D648" s="4">
        <v>13891.03</v>
      </c>
      <c r="E648">
        <v>1.59</v>
      </c>
    </row>
    <row r="649" spans="1:5" x14ac:dyDescent="0.25">
      <c r="A649" t="s">
        <v>362</v>
      </c>
      <c r="B649" t="s">
        <v>22</v>
      </c>
      <c r="C649" s="2">
        <f>HYPERLINK("https://cao.dolgi.msk.ru/account/1050667764/", 1050667764)</f>
        <v>1050667764</v>
      </c>
      <c r="D649" s="4">
        <v>316393.40999999997</v>
      </c>
      <c r="E649">
        <v>35.78</v>
      </c>
    </row>
    <row r="650" spans="1:5" x14ac:dyDescent="0.25">
      <c r="A650" t="s">
        <v>362</v>
      </c>
      <c r="B650" t="s">
        <v>95</v>
      </c>
      <c r="C650" s="2">
        <f>HYPERLINK("https://cao.dolgi.msk.ru/account/1050668054/", 1050668054)</f>
        <v>1050668054</v>
      </c>
      <c r="D650" s="4">
        <v>231877.08</v>
      </c>
      <c r="E650">
        <v>35.92</v>
      </c>
    </row>
    <row r="651" spans="1:5" x14ac:dyDescent="0.25">
      <c r="A651" t="s">
        <v>362</v>
      </c>
      <c r="B651" t="s">
        <v>68</v>
      </c>
      <c r="C651" s="2">
        <f>HYPERLINK("https://cao.dolgi.msk.ru/account/1050668222/", 1050668222)</f>
        <v>1050668222</v>
      </c>
      <c r="D651" s="4">
        <v>6314</v>
      </c>
      <c r="E651">
        <v>1.97</v>
      </c>
    </row>
    <row r="652" spans="1:5" x14ac:dyDescent="0.25">
      <c r="A652" t="s">
        <v>362</v>
      </c>
      <c r="B652" t="s">
        <v>81</v>
      </c>
      <c r="C652" s="2">
        <f>HYPERLINK("https://cao.dolgi.msk.ru/account/1050668388/", 1050668388)</f>
        <v>1050668388</v>
      </c>
      <c r="D652" s="4">
        <v>6263.07</v>
      </c>
      <c r="E652">
        <v>1.46</v>
      </c>
    </row>
    <row r="653" spans="1:5" x14ac:dyDescent="0.25">
      <c r="A653" t="s">
        <v>362</v>
      </c>
      <c r="B653" t="s">
        <v>89</v>
      </c>
      <c r="C653" s="2">
        <f>HYPERLINK("https://cao.dolgi.msk.ru/account/1050680985/", 1050680985)</f>
        <v>1050680985</v>
      </c>
      <c r="D653" s="4">
        <v>6426.24</v>
      </c>
      <c r="E653">
        <v>1.51</v>
      </c>
    </row>
    <row r="654" spans="1:5" x14ac:dyDescent="0.25">
      <c r="A654" t="s">
        <v>362</v>
      </c>
      <c r="B654" t="s">
        <v>105</v>
      </c>
      <c r="C654" s="2">
        <f>HYPERLINK("https://cao.dolgi.msk.ru/account/1050668599/", 1050668599)</f>
        <v>1050668599</v>
      </c>
      <c r="D654" s="4">
        <v>250999.52</v>
      </c>
      <c r="E654">
        <v>41.25</v>
      </c>
    </row>
    <row r="655" spans="1:5" x14ac:dyDescent="0.25">
      <c r="A655" t="s">
        <v>362</v>
      </c>
      <c r="B655" t="s">
        <v>123</v>
      </c>
      <c r="C655" s="2">
        <f>HYPERLINK("https://cao.dolgi.msk.ru/account/1050668839/", 1050668839)</f>
        <v>1050668839</v>
      </c>
      <c r="D655" s="4">
        <v>13346.02</v>
      </c>
      <c r="E655">
        <v>1.88</v>
      </c>
    </row>
    <row r="656" spans="1:5" x14ac:dyDescent="0.25">
      <c r="A656" t="s">
        <v>362</v>
      </c>
      <c r="B656" t="s">
        <v>129</v>
      </c>
      <c r="C656" s="2">
        <f>HYPERLINK("https://cao.dolgi.msk.ru/account/1055000395/", 1055000395)</f>
        <v>1055000395</v>
      </c>
      <c r="D656" s="4">
        <v>132212.46</v>
      </c>
      <c r="E656">
        <v>11.66</v>
      </c>
    </row>
    <row r="657" spans="1:5" x14ac:dyDescent="0.25">
      <c r="A657" t="s">
        <v>362</v>
      </c>
      <c r="B657" t="s">
        <v>223</v>
      </c>
      <c r="C657" s="2">
        <f>HYPERLINK("https://cao.dolgi.msk.ru/account/1059016263/", 1059016263)</f>
        <v>1059016263</v>
      </c>
      <c r="D657" s="4">
        <v>7976.59</v>
      </c>
      <c r="E657">
        <v>1.84</v>
      </c>
    </row>
    <row r="658" spans="1:5" x14ac:dyDescent="0.25">
      <c r="A658" t="s">
        <v>362</v>
      </c>
      <c r="B658" t="s">
        <v>179</v>
      </c>
      <c r="C658" s="2">
        <f>HYPERLINK("https://cao.dolgi.msk.ru/account/1050669479/", 1050669479)</f>
        <v>1050669479</v>
      </c>
      <c r="D658" s="4">
        <v>10005.93</v>
      </c>
      <c r="E658">
        <v>1.32</v>
      </c>
    </row>
    <row r="659" spans="1:5" x14ac:dyDescent="0.25">
      <c r="A659" t="s">
        <v>362</v>
      </c>
      <c r="B659" t="s">
        <v>181</v>
      </c>
      <c r="C659" s="2">
        <f>HYPERLINK("https://cao.dolgi.msk.ru/account/1050680002/", 1050680002)</f>
        <v>1050680002</v>
      </c>
      <c r="D659" s="4">
        <v>6733.42</v>
      </c>
      <c r="E659">
        <v>1.01</v>
      </c>
    </row>
    <row r="660" spans="1:5" x14ac:dyDescent="0.25">
      <c r="A660" t="s">
        <v>362</v>
      </c>
      <c r="B660" t="s">
        <v>199</v>
      </c>
      <c r="C660" s="2">
        <f>HYPERLINK("https://cao.dolgi.msk.ru/account/1058148352/", 1058148352)</f>
        <v>1058148352</v>
      </c>
      <c r="D660" s="4">
        <v>15906.62</v>
      </c>
      <c r="E660">
        <v>2</v>
      </c>
    </row>
    <row r="661" spans="1:5" x14ac:dyDescent="0.25">
      <c r="A661" t="s">
        <v>362</v>
      </c>
      <c r="B661" t="s">
        <v>205</v>
      </c>
      <c r="C661" s="2">
        <f>HYPERLINK("https://cao.dolgi.msk.ru/account/1050669866/", 1050669866)</f>
        <v>1050669866</v>
      </c>
      <c r="D661" s="4">
        <v>177005.52</v>
      </c>
      <c r="E661">
        <v>44.49</v>
      </c>
    </row>
    <row r="662" spans="1:5" x14ac:dyDescent="0.25">
      <c r="A662" t="s">
        <v>363</v>
      </c>
      <c r="B662" t="s">
        <v>12</v>
      </c>
      <c r="C662" s="2">
        <f>HYPERLINK("https://cao.dolgi.msk.ru/account/1050681478/", 1050681478)</f>
        <v>1050681478</v>
      </c>
      <c r="D662" s="4">
        <v>430984.41</v>
      </c>
      <c r="E662">
        <v>48.04</v>
      </c>
    </row>
    <row r="663" spans="1:5" x14ac:dyDescent="0.25">
      <c r="A663" t="s">
        <v>363</v>
      </c>
      <c r="B663" t="s">
        <v>21</v>
      </c>
      <c r="C663" s="2">
        <f>HYPERLINK("https://cao.dolgi.msk.ru/account/1050681611/", 1050681611)</f>
        <v>1050681611</v>
      </c>
      <c r="D663" s="4">
        <v>14187.32</v>
      </c>
      <c r="E663">
        <v>4.7699999999999996</v>
      </c>
    </row>
    <row r="664" spans="1:5" x14ac:dyDescent="0.25">
      <c r="A664" t="s">
        <v>363</v>
      </c>
      <c r="B664" t="s">
        <v>29</v>
      </c>
      <c r="C664" s="2">
        <f>HYPERLINK("https://cao.dolgi.msk.ru/account/1050681734/", 1050681734)</f>
        <v>1050681734</v>
      </c>
      <c r="D664" s="4">
        <v>12306.22</v>
      </c>
      <c r="E664">
        <v>1.99</v>
      </c>
    </row>
    <row r="665" spans="1:5" x14ac:dyDescent="0.25">
      <c r="A665" t="s">
        <v>363</v>
      </c>
      <c r="B665" t="s">
        <v>34</v>
      </c>
      <c r="C665" s="2">
        <f>HYPERLINK("https://cao.dolgi.msk.ru/account/1050681793/", 1050681793)</f>
        <v>1050681793</v>
      </c>
      <c r="D665" s="4">
        <v>281449.51</v>
      </c>
      <c r="E665">
        <v>143.52000000000001</v>
      </c>
    </row>
    <row r="666" spans="1:5" x14ac:dyDescent="0.25">
      <c r="A666" t="s">
        <v>364</v>
      </c>
      <c r="B666" t="s">
        <v>31</v>
      </c>
      <c r="C666" s="2">
        <f>HYPERLINK("https://cao.dolgi.msk.ru/account/1058136482/", 1058136482)</f>
        <v>1058136482</v>
      </c>
      <c r="D666" s="4">
        <v>13603.79</v>
      </c>
      <c r="E666">
        <v>2.94</v>
      </c>
    </row>
    <row r="667" spans="1:5" x14ac:dyDescent="0.25">
      <c r="A667" t="s">
        <v>364</v>
      </c>
      <c r="B667" t="s">
        <v>57</v>
      </c>
      <c r="C667" s="2">
        <f>HYPERLINK("https://cao.dolgi.msk.ru/account/1050701061/", 1050701061)</f>
        <v>1050701061</v>
      </c>
      <c r="D667" s="4">
        <v>242428.19</v>
      </c>
      <c r="E667">
        <v>39.6</v>
      </c>
    </row>
    <row r="668" spans="1:5" x14ac:dyDescent="0.25">
      <c r="A668" t="s">
        <v>364</v>
      </c>
      <c r="B668" t="s">
        <v>58</v>
      </c>
      <c r="C668" s="2">
        <f>HYPERLINK("https://cao.dolgi.msk.ru/account/1050701088/", 1050701088)</f>
        <v>1050701088</v>
      </c>
      <c r="D668" s="4">
        <v>8456.33</v>
      </c>
      <c r="E668">
        <v>1.83</v>
      </c>
    </row>
    <row r="669" spans="1:5" x14ac:dyDescent="0.25">
      <c r="A669" t="s">
        <v>364</v>
      </c>
      <c r="B669" t="s">
        <v>65</v>
      </c>
      <c r="C669" s="2">
        <f>HYPERLINK("https://cao.dolgi.msk.ru/account/1050701168/", 1050701168)</f>
        <v>1050701168</v>
      </c>
      <c r="D669" s="4">
        <v>14998.54</v>
      </c>
      <c r="E669">
        <v>2.62</v>
      </c>
    </row>
    <row r="670" spans="1:5" x14ac:dyDescent="0.25">
      <c r="A670" t="s">
        <v>364</v>
      </c>
      <c r="B670" t="s">
        <v>86</v>
      </c>
      <c r="C670" s="2">
        <f>HYPERLINK("https://cao.dolgi.msk.ru/account/1050701416/", 1050701416)</f>
        <v>1050701416</v>
      </c>
      <c r="D670" s="4">
        <v>15233.6</v>
      </c>
      <c r="E670">
        <v>2</v>
      </c>
    </row>
    <row r="671" spans="1:5" x14ac:dyDescent="0.25">
      <c r="A671" t="s">
        <v>365</v>
      </c>
      <c r="B671" t="s">
        <v>94</v>
      </c>
      <c r="C671" s="2">
        <f>HYPERLINK("https://cao.dolgi.msk.ru/account/1056018802/", 1056018802)</f>
        <v>1056018802</v>
      </c>
      <c r="D671" s="4">
        <v>11228.98</v>
      </c>
      <c r="E671">
        <v>2</v>
      </c>
    </row>
    <row r="672" spans="1:5" x14ac:dyDescent="0.25">
      <c r="A672" t="s">
        <v>365</v>
      </c>
      <c r="B672" t="s">
        <v>86</v>
      </c>
      <c r="C672" s="2">
        <f>HYPERLINK("https://cao.dolgi.msk.ru/account/1056019282/", 1056019282)</f>
        <v>1056019282</v>
      </c>
      <c r="D672" s="4">
        <v>47555.39</v>
      </c>
      <c r="E672">
        <v>4.1100000000000003</v>
      </c>
    </row>
    <row r="673" spans="1:5" x14ac:dyDescent="0.25">
      <c r="A673" t="s">
        <v>365</v>
      </c>
      <c r="B673" t="s">
        <v>110</v>
      </c>
      <c r="C673" s="2">
        <f>HYPERLINK("https://cao.dolgi.msk.ru/account/1056019522/", 1056019522)</f>
        <v>1056019522</v>
      </c>
      <c r="D673" s="4">
        <v>45958.03</v>
      </c>
      <c r="E673">
        <v>10.65</v>
      </c>
    </row>
    <row r="674" spans="1:5" x14ac:dyDescent="0.25">
      <c r="A674" t="s">
        <v>366</v>
      </c>
      <c r="B674" t="s">
        <v>13</v>
      </c>
      <c r="C674" s="2">
        <f>HYPERLINK("https://cao.dolgi.msk.ru/account/1050545943/", 1050545943)</f>
        <v>1050545943</v>
      </c>
      <c r="D674" s="4">
        <v>18586.259999999998</v>
      </c>
      <c r="E674">
        <v>1.08</v>
      </c>
    </row>
    <row r="675" spans="1:5" x14ac:dyDescent="0.25">
      <c r="A675" t="s">
        <v>366</v>
      </c>
      <c r="B675" t="s">
        <v>24</v>
      </c>
      <c r="C675" s="2">
        <f>HYPERLINK("https://cao.dolgi.msk.ru/account/1050546401/", 1050546401)</f>
        <v>1050546401</v>
      </c>
      <c r="D675" s="4">
        <v>32978.129999999997</v>
      </c>
      <c r="E675">
        <v>2.78</v>
      </c>
    </row>
    <row r="676" spans="1:5" x14ac:dyDescent="0.25">
      <c r="A676" t="s">
        <v>367</v>
      </c>
      <c r="B676" t="s">
        <v>11</v>
      </c>
      <c r="C676" s="2">
        <f>HYPERLINK("https://cao.dolgi.msk.ru/account/1050543083/", 1050543083)</f>
        <v>1050543083</v>
      </c>
      <c r="D676" s="4">
        <v>18917.740000000002</v>
      </c>
      <c r="E676">
        <v>2</v>
      </c>
    </row>
    <row r="677" spans="1:5" x14ac:dyDescent="0.25">
      <c r="A677" t="s">
        <v>368</v>
      </c>
      <c r="B677" t="s">
        <v>9</v>
      </c>
      <c r="C677" s="2">
        <f>HYPERLINK("https://cao.dolgi.msk.ru/account/1050544895/", 1050544895)</f>
        <v>1050544895</v>
      </c>
      <c r="D677" s="4">
        <v>19216.02</v>
      </c>
      <c r="E677">
        <v>2</v>
      </c>
    </row>
    <row r="678" spans="1:5" x14ac:dyDescent="0.25">
      <c r="A678" t="s">
        <v>368</v>
      </c>
      <c r="B678" t="s">
        <v>16</v>
      </c>
      <c r="C678" s="2">
        <f>HYPERLINK("https://cao.dolgi.msk.ru/account/1050545118/", 1050545118)</f>
        <v>1050545118</v>
      </c>
      <c r="D678" s="4">
        <v>16107.58</v>
      </c>
      <c r="E678">
        <v>1.69</v>
      </c>
    </row>
    <row r="679" spans="1:5" x14ac:dyDescent="0.25">
      <c r="A679" t="s">
        <v>368</v>
      </c>
      <c r="B679" t="s">
        <v>18</v>
      </c>
      <c r="C679" s="2">
        <f>HYPERLINK("https://cao.dolgi.msk.ru/account/1050545169/", 1050545169)</f>
        <v>1050545169</v>
      </c>
      <c r="D679" s="4">
        <v>69406.63</v>
      </c>
      <c r="E679">
        <v>5.97</v>
      </c>
    </row>
    <row r="680" spans="1:5" x14ac:dyDescent="0.25">
      <c r="A680" t="s">
        <v>368</v>
      </c>
      <c r="B680" t="s">
        <v>93</v>
      </c>
      <c r="C680" s="2">
        <f>HYPERLINK("https://cao.dolgi.msk.ru/account/1050545193/", 1050545193)</f>
        <v>1050545193</v>
      </c>
      <c r="D680" s="4">
        <v>24879.66</v>
      </c>
      <c r="E680">
        <v>1.02</v>
      </c>
    </row>
    <row r="681" spans="1:5" x14ac:dyDescent="0.25">
      <c r="A681" t="s">
        <v>368</v>
      </c>
      <c r="B681" t="s">
        <v>21</v>
      </c>
      <c r="C681" s="2">
        <f>HYPERLINK("https://cao.dolgi.msk.ru/account/1050545302/", 1050545302)</f>
        <v>1050545302</v>
      </c>
      <c r="D681" s="4">
        <v>53608.1</v>
      </c>
      <c r="E681">
        <v>4.55</v>
      </c>
    </row>
    <row r="682" spans="1:5" x14ac:dyDescent="0.25">
      <c r="A682" t="s">
        <v>368</v>
      </c>
      <c r="B682" t="s">
        <v>31</v>
      </c>
      <c r="C682" s="2">
        <f>HYPERLINK("https://cao.dolgi.msk.ru/account/1050545601/", 1050545601)</f>
        <v>1050545601</v>
      </c>
      <c r="D682" s="4">
        <v>14633.74</v>
      </c>
      <c r="E682">
        <v>2</v>
      </c>
    </row>
    <row r="683" spans="1:5" x14ac:dyDescent="0.25">
      <c r="A683" t="s">
        <v>368</v>
      </c>
      <c r="B683" t="s">
        <v>33</v>
      </c>
      <c r="C683" s="2">
        <f>HYPERLINK("https://cao.dolgi.msk.ru/account/1050545468/", 1050545468)</f>
        <v>1050545468</v>
      </c>
      <c r="D683" s="4">
        <v>18235.18</v>
      </c>
      <c r="E683">
        <v>1.03</v>
      </c>
    </row>
    <row r="684" spans="1:5" x14ac:dyDescent="0.25">
      <c r="A684" t="s">
        <v>368</v>
      </c>
      <c r="B684" t="s">
        <v>38</v>
      </c>
      <c r="C684" s="2">
        <f>HYPERLINK("https://cao.dolgi.msk.ru/account/1050545564/", 1050545564)</f>
        <v>1050545564</v>
      </c>
      <c r="D684" s="4">
        <v>20668.84</v>
      </c>
      <c r="E684">
        <v>2</v>
      </c>
    </row>
    <row r="685" spans="1:5" x14ac:dyDescent="0.25">
      <c r="A685" t="s">
        <v>368</v>
      </c>
      <c r="B685" t="s">
        <v>39</v>
      </c>
      <c r="C685" s="2">
        <f>HYPERLINK("https://cao.dolgi.msk.ru/account/1050545572/", 1050545572)</f>
        <v>1050545572</v>
      </c>
      <c r="D685" s="4">
        <v>32354.3</v>
      </c>
      <c r="E685">
        <v>1.99</v>
      </c>
    </row>
    <row r="686" spans="1:5" x14ac:dyDescent="0.25">
      <c r="A686" t="s">
        <v>368</v>
      </c>
      <c r="B686" t="s">
        <v>40</v>
      </c>
      <c r="C686" s="2">
        <f>HYPERLINK("https://cao.dolgi.msk.ru/account/1050545599/", 1050545599)</f>
        <v>1050545599</v>
      </c>
      <c r="D686" s="4">
        <v>38192.1</v>
      </c>
      <c r="E686">
        <v>1.97</v>
      </c>
    </row>
    <row r="687" spans="1:5" x14ac:dyDescent="0.25">
      <c r="A687" t="s">
        <v>369</v>
      </c>
      <c r="B687" t="s">
        <v>20</v>
      </c>
      <c r="C687" s="2">
        <f>HYPERLINK("https://cao.dolgi.msk.ru/account/1050562436/", 1050562436)</f>
        <v>1050562436</v>
      </c>
      <c r="D687" s="4">
        <v>11245.4</v>
      </c>
      <c r="E687">
        <v>2</v>
      </c>
    </row>
    <row r="688" spans="1:5" x14ac:dyDescent="0.25">
      <c r="A688" t="s">
        <v>370</v>
      </c>
      <c r="B688" t="s">
        <v>17</v>
      </c>
      <c r="C688" s="2">
        <f>HYPERLINK("https://cao.dolgi.msk.ru/account/1050562858/", 1050562858)</f>
        <v>1050562858</v>
      </c>
      <c r="D688" s="4">
        <v>12253.01</v>
      </c>
      <c r="E688">
        <v>1.99</v>
      </c>
    </row>
    <row r="689" spans="1:5" x14ac:dyDescent="0.25">
      <c r="A689" t="s">
        <v>370</v>
      </c>
      <c r="B689" t="s">
        <v>31</v>
      </c>
      <c r="C689" s="2">
        <f>HYPERLINK("https://cao.dolgi.msk.ru/account/1050563068/", 1050563068)</f>
        <v>1050563068</v>
      </c>
      <c r="D689" s="4">
        <v>17944.419999999998</v>
      </c>
      <c r="E689">
        <v>2</v>
      </c>
    </row>
    <row r="690" spans="1:5" x14ac:dyDescent="0.25">
      <c r="A690" t="s">
        <v>370</v>
      </c>
      <c r="B690" t="s">
        <v>69</v>
      </c>
      <c r="C690" s="2">
        <f>HYPERLINK("https://cao.dolgi.msk.ru/account/1050563535/", 1050563535)</f>
        <v>1050563535</v>
      </c>
      <c r="D690" s="4">
        <v>27893.4</v>
      </c>
      <c r="E690">
        <v>5.99</v>
      </c>
    </row>
    <row r="691" spans="1:5" x14ac:dyDescent="0.25">
      <c r="A691" t="s">
        <v>371</v>
      </c>
      <c r="B691" t="s">
        <v>18</v>
      </c>
      <c r="C691" s="2">
        <f>HYPERLINK("https://cao.dolgi.msk.ru/account/1050563957/", 1050563957)</f>
        <v>1050563957</v>
      </c>
      <c r="D691" s="4">
        <v>27794.3</v>
      </c>
      <c r="E691">
        <v>4.2699999999999996</v>
      </c>
    </row>
    <row r="692" spans="1:5" x14ac:dyDescent="0.25">
      <c r="A692" t="s">
        <v>371</v>
      </c>
      <c r="B692" t="s">
        <v>52</v>
      </c>
      <c r="C692" s="2">
        <f>HYPERLINK("https://cao.dolgi.msk.ru/account/1058133548/", 1058133548)</f>
        <v>1058133548</v>
      </c>
      <c r="D692" s="4">
        <v>19603.740000000002</v>
      </c>
      <c r="E692">
        <v>2</v>
      </c>
    </row>
    <row r="693" spans="1:5" x14ac:dyDescent="0.25">
      <c r="A693" t="s">
        <v>372</v>
      </c>
      <c r="B693" t="s">
        <v>14</v>
      </c>
      <c r="C693" s="2">
        <f>HYPERLINK("https://cao.dolgi.msk.ru/account/1050324139/", 1050324139)</f>
        <v>1050324139</v>
      </c>
      <c r="D693" s="4">
        <v>139562.93</v>
      </c>
      <c r="E693">
        <v>51.46</v>
      </c>
    </row>
    <row r="694" spans="1:5" x14ac:dyDescent="0.25">
      <c r="A694" t="s">
        <v>372</v>
      </c>
      <c r="B694" t="s">
        <v>15</v>
      </c>
      <c r="C694" s="2">
        <f>HYPERLINK("https://cao.dolgi.msk.ru/account/1050324147/", 1050324147)</f>
        <v>1050324147</v>
      </c>
      <c r="D694" s="4">
        <v>9477.89</v>
      </c>
      <c r="E694">
        <v>1.95</v>
      </c>
    </row>
    <row r="695" spans="1:5" x14ac:dyDescent="0.25">
      <c r="A695" t="s">
        <v>372</v>
      </c>
      <c r="B695" t="s">
        <v>17</v>
      </c>
      <c r="C695" s="2">
        <f>HYPERLINK("https://cao.dolgi.msk.ru/account/1050324163/", 1050324163)</f>
        <v>1050324163</v>
      </c>
      <c r="D695" s="4">
        <v>65989.08</v>
      </c>
      <c r="E695">
        <v>8.86</v>
      </c>
    </row>
    <row r="696" spans="1:5" x14ac:dyDescent="0.25">
      <c r="A696" t="s">
        <v>372</v>
      </c>
      <c r="B696" t="s">
        <v>24</v>
      </c>
      <c r="C696" s="2">
        <f>HYPERLINK("https://cao.dolgi.msk.ru/account/1050324315/", 1050324315)</f>
        <v>1050324315</v>
      </c>
      <c r="D696" s="4">
        <v>219432.15</v>
      </c>
      <c r="E696">
        <v>31.78</v>
      </c>
    </row>
    <row r="697" spans="1:5" x14ac:dyDescent="0.25">
      <c r="A697" t="s">
        <v>372</v>
      </c>
      <c r="B697" t="s">
        <v>31</v>
      </c>
      <c r="C697" s="2">
        <f>HYPERLINK("https://cao.dolgi.msk.ru/account/1050324497/", 1050324497)</f>
        <v>1050324497</v>
      </c>
      <c r="D697" s="4">
        <v>13034.7</v>
      </c>
      <c r="E697">
        <v>1.67</v>
      </c>
    </row>
    <row r="698" spans="1:5" x14ac:dyDescent="0.25">
      <c r="A698" t="s">
        <v>372</v>
      </c>
      <c r="B698" t="s">
        <v>32</v>
      </c>
      <c r="C698" s="2">
        <f>HYPERLINK("https://cao.dolgi.msk.ru/account/1050324526/", 1050324526)</f>
        <v>1050324526</v>
      </c>
      <c r="D698" s="4">
        <v>5073.57</v>
      </c>
      <c r="E698">
        <v>1.18</v>
      </c>
    </row>
    <row r="699" spans="1:5" x14ac:dyDescent="0.25">
      <c r="A699" t="s">
        <v>372</v>
      </c>
      <c r="B699" t="s">
        <v>39</v>
      </c>
      <c r="C699" s="2">
        <f>HYPERLINK("https://cao.dolgi.msk.ru/account/1050324657/", 1050324657)</f>
        <v>1050324657</v>
      </c>
      <c r="D699" s="4">
        <v>8672.26</v>
      </c>
      <c r="E699">
        <v>1.95</v>
      </c>
    </row>
    <row r="700" spans="1:5" x14ac:dyDescent="0.25">
      <c r="A700" t="s">
        <v>373</v>
      </c>
      <c r="B700" t="s">
        <v>24</v>
      </c>
      <c r="C700" s="2">
        <f>HYPERLINK("https://cao.dolgi.msk.ru/account/1050720721/", 1050720721)</f>
        <v>1050720721</v>
      </c>
      <c r="D700" s="4">
        <v>7014.94</v>
      </c>
      <c r="E700">
        <v>1.01</v>
      </c>
    </row>
    <row r="701" spans="1:5" x14ac:dyDescent="0.25">
      <c r="A701" t="s">
        <v>374</v>
      </c>
      <c r="B701" t="s">
        <v>10</v>
      </c>
      <c r="C701" s="2">
        <f>HYPERLINK("https://cao.dolgi.msk.ru/account/1050325932/", 1050325932)</f>
        <v>1050325932</v>
      </c>
      <c r="D701" s="4">
        <v>64816.14</v>
      </c>
      <c r="E701">
        <v>10.9</v>
      </c>
    </row>
    <row r="702" spans="1:5" x14ac:dyDescent="0.25">
      <c r="A702" t="s">
        <v>374</v>
      </c>
      <c r="B702" t="s">
        <v>11</v>
      </c>
      <c r="C702" s="2">
        <f>HYPERLINK("https://cao.dolgi.msk.ru/account/1058124457/", 1058124457)</f>
        <v>1058124457</v>
      </c>
      <c r="D702" s="4">
        <v>7583.66</v>
      </c>
      <c r="E702">
        <v>2.0499999999999998</v>
      </c>
    </row>
    <row r="703" spans="1:5" x14ac:dyDescent="0.25">
      <c r="A703" t="s">
        <v>374</v>
      </c>
      <c r="B703" t="s">
        <v>14</v>
      </c>
      <c r="C703" s="2">
        <f>HYPERLINK("https://cao.dolgi.msk.ru/account/1050326046/", 1050326046)</f>
        <v>1050326046</v>
      </c>
      <c r="D703" s="4">
        <v>13431.7</v>
      </c>
      <c r="E703">
        <v>2</v>
      </c>
    </row>
    <row r="704" spans="1:5" x14ac:dyDescent="0.25">
      <c r="A704" t="s">
        <v>375</v>
      </c>
      <c r="B704" t="s">
        <v>18</v>
      </c>
      <c r="C704" s="2">
        <f>HYPERLINK("https://cao.dolgi.msk.ru/account/1050349408/", 1050349408)</f>
        <v>1050349408</v>
      </c>
      <c r="D704" s="4">
        <v>526446.51</v>
      </c>
      <c r="E704">
        <v>37.090000000000003</v>
      </c>
    </row>
    <row r="705" spans="1:5" x14ac:dyDescent="0.25">
      <c r="A705" t="s">
        <v>375</v>
      </c>
      <c r="B705" t="s">
        <v>21</v>
      </c>
      <c r="C705" s="2">
        <f>HYPERLINK("https://cao.dolgi.msk.ru/account/1050349459/", 1050349459)</f>
        <v>1050349459</v>
      </c>
      <c r="D705" s="4">
        <v>44510.02</v>
      </c>
      <c r="E705">
        <v>6.15</v>
      </c>
    </row>
    <row r="706" spans="1:5" x14ac:dyDescent="0.25">
      <c r="A706" t="s">
        <v>375</v>
      </c>
      <c r="B706" t="s">
        <v>22</v>
      </c>
      <c r="C706" s="2">
        <f>HYPERLINK("https://cao.dolgi.msk.ru/account/1050349467/", 1050349467)</f>
        <v>1050349467</v>
      </c>
      <c r="D706" s="4">
        <v>94300.95</v>
      </c>
      <c r="E706">
        <v>41.57</v>
      </c>
    </row>
    <row r="707" spans="1:5" x14ac:dyDescent="0.25">
      <c r="A707" t="s">
        <v>375</v>
      </c>
      <c r="B707" t="s">
        <v>34</v>
      </c>
      <c r="C707" s="2">
        <f>HYPERLINK("https://cao.dolgi.msk.ru/account/1050349598/", 1050349598)</f>
        <v>1050349598</v>
      </c>
      <c r="D707" s="4">
        <v>9479.39</v>
      </c>
      <c r="E707">
        <v>1.94</v>
      </c>
    </row>
    <row r="708" spans="1:5" x14ac:dyDescent="0.25">
      <c r="A708" t="s">
        <v>375</v>
      </c>
      <c r="B708" t="s">
        <v>42</v>
      </c>
      <c r="C708" s="2">
        <f>HYPERLINK("https://cao.dolgi.msk.ru/account/1050349694/", 1050349694)</f>
        <v>1050349694</v>
      </c>
      <c r="D708" s="4">
        <v>9115.74</v>
      </c>
      <c r="E708">
        <v>1.84</v>
      </c>
    </row>
    <row r="709" spans="1:5" x14ac:dyDescent="0.25">
      <c r="A709" t="s">
        <v>375</v>
      </c>
      <c r="B709" t="s">
        <v>51</v>
      </c>
      <c r="C709" s="2">
        <f>HYPERLINK("https://cao.dolgi.msk.ru/account/1050349838/", 1050349838)</f>
        <v>1050349838</v>
      </c>
      <c r="D709" s="4">
        <v>46868.54</v>
      </c>
      <c r="E709">
        <v>9.58</v>
      </c>
    </row>
    <row r="710" spans="1:5" x14ac:dyDescent="0.25">
      <c r="A710" t="s">
        <v>375</v>
      </c>
      <c r="B710" t="s">
        <v>58</v>
      </c>
      <c r="C710" s="2">
        <f>HYPERLINK("https://cao.dolgi.msk.ru/account/1050349926/", 1050349926)</f>
        <v>1050349926</v>
      </c>
      <c r="D710" s="4">
        <v>73484.42</v>
      </c>
      <c r="E710">
        <v>9.8800000000000008</v>
      </c>
    </row>
    <row r="711" spans="1:5" x14ac:dyDescent="0.25">
      <c r="A711" t="s">
        <v>375</v>
      </c>
      <c r="B711" t="s">
        <v>61</v>
      </c>
      <c r="C711" s="2">
        <f>HYPERLINK("https://cao.dolgi.msk.ru/account/1050349977/", 1050349977)</f>
        <v>1050349977</v>
      </c>
      <c r="D711" s="4">
        <v>7481.43</v>
      </c>
      <c r="E711">
        <v>1.39</v>
      </c>
    </row>
    <row r="712" spans="1:5" x14ac:dyDescent="0.25">
      <c r="A712" t="s">
        <v>376</v>
      </c>
      <c r="B712" t="s">
        <v>6</v>
      </c>
      <c r="C712" s="2">
        <f>HYPERLINK("https://cao.dolgi.msk.ru/account/1050681814/", 1050681814)</f>
        <v>1050681814</v>
      </c>
      <c r="D712" s="4">
        <v>12167.68</v>
      </c>
      <c r="E712">
        <v>1.74</v>
      </c>
    </row>
    <row r="713" spans="1:5" x14ac:dyDescent="0.25">
      <c r="A713" t="s">
        <v>376</v>
      </c>
      <c r="B713" t="s">
        <v>18</v>
      </c>
      <c r="C713" s="2">
        <f>HYPERLINK("https://cao.dolgi.msk.ru/account/1058120819/", 1058120819)</f>
        <v>1058120819</v>
      </c>
      <c r="D713" s="4">
        <v>17117.02</v>
      </c>
      <c r="E713">
        <v>2</v>
      </c>
    </row>
    <row r="714" spans="1:5" x14ac:dyDescent="0.25">
      <c r="A714" t="s">
        <v>376</v>
      </c>
      <c r="B714" t="s">
        <v>37</v>
      </c>
      <c r="C714" s="2">
        <f>HYPERLINK("https://cao.dolgi.msk.ru/account/1050682198/", 1050682198)</f>
        <v>1050682198</v>
      </c>
      <c r="D714" s="4">
        <v>46965.31</v>
      </c>
      <c r="E714">
        <v>7.37</v>
      </c>
    </row>
    <row r="715" spans="1:5" x14ac:dyDescent="0.25">
      <c r="A715" t="s">
        <v>376</v>
      </c>
      <c r="B715" t="s">
        <v>48</v>
      </c>
      <c r="C715" s="2">
        <f>HYPERLINK("https://cao.dolgi.msk.ru/account/1050682358/", 1050682358)</f>
        <v>1050682358</v>
      </c>
      <c r="D715" s="4">
        <v>5255.73</v>
      </c>
      <c r="E715">
        <v>1.29</v>
      </c>
    </row>
    <row r="716" spans="1:5" x14ac:dyDescent="0.25">
      <c r="A716" t="s">
        <v>376</v>
      </c>
      <c r="B716" t="s">
        <v>88</v>
      </c>
      <c r="C716" s="2">
        <f>HYPERLINK("https://cao.dolgi.msk.ru/account/1050682841/", 1050682841)</f>
        <v>1050682841</v>
      </c>
      <c r="D716" s="4">
        <v>6632.71</v>
      </c>
      <c r="E716">
        <v>1.03</v>
      </c>
    </row>
    <row r="717" spans="1:5" x14ac:dyDescent="0.25">
      <c r="A717" t="s">
        <v>376</v>
      </c>
      <c r="B717" t="s">
        <v>97</v>
      </c>
      <c r="C717" s="2">
        <f>HYPERLINK("https://cao.dolgi.msk.ru/account/1050682905/", 1050682905)</f>
        <v>1050682905</v>
      </c>
      <c r="D717" s="4">
        <v>7062.59</v>
      </c>
      <c r="E717">
        <v>1.02</v>
      </c>
    </row>
    <row r="718" spans="1:5" x14ac:dyDescent="0.25">
      <c r="A718" t="s">
        <v>377</v>
      </c>
      <c r="B718" t="s">
        <v>11</v>
      </c>
      <c r="C718" s="2">
        <f>HYPERLINK("https://cao.dolgi.msk.ru/account/1050685364/", 1050685364)</f>
        <v>1050685364</v>
      </c>
      <c r="D718" s="4">
        <v>12455.27</v>
      </c>
      <c r="E718">
        <v>1.7</v>
      </c>
    </row>
    <row r="719" spans="1:5" x14ac:dyDescent="0.25">
      <c r="A719" t="s">
        <v>377</v>
      </c>
      <c r="B719" t="s">
        <v>27</v>
      </c>
      <c r="C719" s="2">
        <f>HYPERLINK("https://cao.dolgi.msk.ru/account/1050685639/", 1050685639)</f>
        <v>1050685639</v>
      </c>
      <c r="D719" s="4">
        <v>432853.93</v>
      </c>
      <c r="E719">
        <v>63.04</v>
      </c>
    </row>
    <row r="720" spans="1:5" x14ac:dyDescent="0.25">
      <c r="A720" t="s">
        <v>377</v>
      </c>
      <c r="B720" t="s">
        <v>61</v>
      </c>
      <c r="C720" s="2">
        <f>HYPERLINK("https://cao.dolgi.msk.ru/account/1050686228/", 1050686228)</f>
        <v>1050686228</v>
      </c>
      <c r="D720" s="4">
        <v>19405.189999999999</v>
      </c>
      <c r="E720">
        <v>5.19</v>
      </c>
    </row>
    <row r="721" spans="1:5" x14ac:dyDescent="0.25">
      <c r="A721" t="s">
        <v>377</v>
      </c>
      <c r="B721" t="s">
        <v>62</v>
      </c>
      <c r="C721" s="2">
        <f>HYPERLINK("https://cao.dolgi.msk.ru/account/1050686236/", 1050686236)</f>
        <v>1050686236</v>
      </c>
      <c r="D721" s="4">
        <v>505340.4</v>
      </c>
      <c r="E721">
        <v>52.82</v>
      </c>
    </row>
    <row r="722" spans="1:5" x14ac:dyDescent="0.25">
      <c r="A722" t="s">
        <v>377</v>
      </c>
      <c r="B722" t="s">
        <v>63</v>
      </c>
      <c r="C722" s="2">
        <f>HYPERLINK("https://cao.dolgi.msk.ru/account/1050686244/", 1050686244)</f>
        <v>1050686244</v>
      </c>
      <c r="D722" s="4">
        <v>15630.77</v>
      </c>
      <c r="E722">
        <v>1.95</v>
      </c>
    </row>
    <row r="723" spans="1:5" x14ac:dyDescent="0.25">
      <c r="A723" t="s">
        <v>377</v>
      </c>
      <c r="B723" t="s">
        <v>78</v>
      </c>
      <c r="C723" s="2">
        <f>HYPERLINK("https://cao.dolgi.msk.ru/account/1058144466/", 1058144466)</f>
        <v>1058144466</v>
      </c>
      <c r="D723" s="4">
        <v>8538.9500000000007</v>
      </c>
      <c r="E723">
        <v>1.51</v>
      </c>
    </row>
    <row r="724" spans="1:5" x14ac:dyDescent="0.25">
      <c r="A724" t="s">
        <v>377</v>
      </c>
      <c r="B724" t="s">
        <v>87</v>
      </c>
      <c r="C724" s="2">
        <f>HYPERLINK("https://cao.dolgi.msk.ru/account/1058022581/", 1058022581)</f>
        <v>1058022581</v>
      </c>
      <c r="D724" s="4">
        <v>19487.46</v>
      </c>
      <c r="E724">
        <v>2</v>
      </c>
    </row>
    <row r="725" spans="1:5" x14ac:dyDescent="0.25">
      <c r="A725" t="s">
        <v>377</v>
      </c>
      <c r="B725" t="s">
        <v>110</v>
      </c>
      <c r="C725" s="2">
        <f>HYPERLINK("https://cao.dolgi.msk.ru/account/1058124465/", 1058124465)</f>
        <v>1058124465</v>
      </c>
      <c r="D725" s="4">
        <v>8944.66</v>
      </c>
      <c r="E725">
        <v>1.97</v>
      </c>
    </row>
    <row r="726" spans="1:5" x14ac:dyDescent="0.25">
      <c r="A726" t="s">
        <v>377</v>
      </c>
      <c r="B726" t="s">
        <v>120</v>
      </c>
      <c r="C726" s="2">
        <f>HYPERLINK("https://cao.dolgi.msk.ru/account/1050686914/", 1050686914)</f>
        <v>1050686914</v>
      </c>
      <c r="D726" s="4">
        <v>8811.18</v>
      </c>
      <c r="E726">
        <v>2.23</v>
      </c>
    </row>
    <row r="727" spans="1:5" x14ac:dyDescent="0.25">
      <c r="A727" t="s">
        <v>377</v>
      </c>
      <c r="B727" t="s">
        <v>168</v>
      </c>
      <c r="C727" s="2">
        <f>HYPERLINK("https://cao.dolgi.msk.ru/account/1050687642/", 1050687642)</f>
        <v>1050687642</v>
      </c>
      <c r="D727" s="4">
        <v>16231.09</v>
      </c>
      <c r="E727">
        <v>3.66</v>
      </c>
    </row>
    <row r="728" spans="1:5" x14ac:dyDescent="0.25">
      <c r="A728" t="s">
        <v>377</v>
      </c>
      <c r="B728" t="s">
        <v>170</v>
      </c>
      <c r="C728" s="2">
        <f>HYPERLINK("https://cao.dolgi.msk.ru/account/1050687677/", 1050687677)</f>
        <v>1050687677</v>
      </c>
      <c r="D728" s="4">
        <v>12373.21</v>
      </c>
      <c r="E728">
        <v>2.09</v>
      </c>
    </row>
    <row r="729" spans="1:5" x14ac:dyDescent="0.25">
      <c r="A729" t="s">
        <v>377</v>
      </c>
      <c r="B729" t="s">
        <v>179</v>
      </c>
      <c r="C729" s="2">
        <f>HYPERLINK("https://cao.dolgi.msk.ru/account/1050687845/", 1050687845)</f>
        <v>1050687845</v>
      </c>
      <c r="D729" s="4">
        <v>8133.9</v>
      </c>
      <c r="E729">
        <v>1.86</v>
      </c>
    </row>
    <row r="730" spans="1:5" x14ac:dyDescent="0.25">
      <c r="A730" t="s">
        <v>377</v>
      </c>
      <c r="B730" t="s">
        <v>189</v>
      </c>
      <c r="C730" s="2">
        <f>HYPERLINK("https://cao.dolgi.msk.ru/account/1058027358/", 1058027358)</f>
        <v>1058027358</v>
      </c>
      <c r="D730" s="4">
        <v>51497.63</v>
      </c>
      <c r="E730">
        <v>6.9</v>
      </c>
    </row>
    <row r="731" spans="1:5" x14ac:dyDescent="0.25">
      <c r="A731" t="s">
        <v>377</v>
      </c>
      <c r="B731" t="s">
        <v>208</v>
      </c>
      <c r="C731" s="2">
        <f>HYPERLINK("https://cao.dolgi.msk.ru/account/1050688477/", 1050688477)</f>
        <v>1050688477</v>
      </c>
      <c r="D731" s="4">
        <v>10535.17</v>
      </c>
      <c r="E731">
        <v>2.0099999999999998</v>
      </c>
    </row>
    <row r="732" spans="1:5" x14ac:dyDescent="0.25">
      <c r="A732" t="s">
        <v>377</v>
      </c>
      <c r="B732" t="s">
        <v>281</v>
      </c>
      <c r="C732" s="2">
        <f>HYPERLINK("https://cao.dolgi.msk.ru/account/1050688741/", 1050688741)</f>
        <v>1050688741</v>
      </c>
      <c r="D732" s="4">
        <v>425017.55</v>
      </c>
      <c r="E732">
        <v>48.82</v>
      </c>
    </row>
    <row r="733" spans="1:5" x14ac:dyDescent="0.25">
      <c r="A733" t="s">
        <v>378</v>
      </c>
      <c r="B733" t="s">
        <v>71</v>
      </c>
      <c r="C733" s="2">
        <f>HYPERLINK("https://cao.dolgi.msk.ru/account/1058134727/", 1058134727)</f>
        <v>1058134727</v>
      </c>
      <c r="D733" s="4">
        <v>25429.360000000001</v>
      </c>
      <c r="E733">
        <v>2.52</v>
      </c>
    </row>
    <row r="734" spans="1:5" x14ac:dyDescent="0.25">
      <c r="A734" t="s">
        <v>378</v>
      </c>
      <c r="B734" t="s">
        <v>72</v>
      </c>
      <c r="C734" s="2">
        <f>HYPERLINK("https://cao.dolgi.msk.ru/account/1050651746/", 1050651746)</f>
        <v>1050651746</v>
      </c>
      <c r="D734" s="4">
        <v>467124.98</v>
      </c>
      <c r="E734">
        <v>64.37</v>
      </c>
    </row>
    <row r="735" spans="1:5" x14ac:dyDescent="0.25">
      <c r="A735" t="s">
        <v>378</v>
      </c>
      <c r="B735" t="s">
        <v>74</v>
      </c>
      <c r="C735" s="2">
        <f>HYPERLINK("https://cao.dolgi.msk.ru/account/1050651762/", 1050651762)</f>
        <v>1050651762</v>
      </c>
      <c r="D735" s="4">
        <v>11343.11</v>
      </c>
      <c r="E735">
        <v>2</v>
      </c>
    </row>
    <row r="736" spans="1:5" x14ac:dyDescent="0.25">
      <c r="A736" t="s">
        <v>378</v>
      </c>
      <c r="B736" t="s">
        <v>91</v>
      </c>
      <c r="C736" s="2">
        <f>HYPERLINK("https://cao.dolgi.msk.ru/account/1050652124/", 1050652124)</f>
        <v>1050652124</v>
      </c>
      <c r="D736" s="4">
        <v>5334.72</v>
      </c>
      <c r="E736">
        <v>1.35</v>
      </c>
    </row>
    <row r="737" spans="1:5" x14ac:dyDescent="0.25">
      <c r="A737" t="s">
        <v>378</v>
      </c>
      <c r="B737" t="s">
        <v>97</v>
      </c>
      <c r="C737" s="2">
        <f>HYPERLINK("https://cao.dolgi.msk.ru/account/1050652167/", 1050652167)</f>
        <v>1050652167</v>
      </c>
      <c r="D737" s="4">
        <v>348197.87</v>
      </c>
      <c r="E737">
        <v>40.21</v>
      </c>
    </row>
    <row r="738" spans="1:5" x14ac:dyDescent="0.25">
      <c r="A738" t="s">
        <v>379</v>
      </c>
      <c r="B738" t="s">
        <v>16</v>
      </c>
      <c r="C738" s="2">
        <f>HYPERLINK("https://cao.dolgi.msk.ru/account/1058019956/", 1058019956)</f>
        <v>1058019956</v>
      </c>
      <c r="D738" s="4">
        <v>23213.8</v>
      </c>
      <c r="E738">
        <v>2</v>
      </c>
    </row>
    <row r="739" spans="1:5" x14ac:dyDescent="0.25">
      <c r="A739" t="s">
        <v>379</v>
      </c>
      <c r="B739" t="s">
        <v>33</v>
      </c>
      <c r="C739" s="2">
        <f>HYPERLINK("https://cao.dolgi.msk.ru/account/1058020236/", 1058020236)</f>
        <v>1058020236</v>
      </c>
      <c r="D739" s="4">
        <v>9620.18</v>
      </c>
      <c r="E739">
        <v>2</v>
      </c>
    </row>
    <row r="740" spans="1:5" x14ac:dyDescent="0.25">
      <c r="A740" t="s">
        <v>380</v>
      </c>
      <c r="B740" t="s">
        <v>6</v>
      </c>
      <c r="C740" s="2">
        <f>HYPERLINK("https://cao.dolgi.msk.ru/account/1050688776/", 1050688776)</f>
        <v>1050688776</v>
      </c>
      <c r="D740" s="4">
        <v>37953.660000000003</v>
      </c>
      <c r="E740">
        <v>4.01</v>
      </c>
    </row>
    <row r="741" spans="1:5" x14ac:dyDescent="0.25">
      <c r="A741" t="s">
        <v>380</v>
      </c>
      <c r="B741" t="s">
        <v>7</v>
      </c>
      <c r="C741" s="2">
        <f>HYPERLINK("https://cao.dolgi.msk.ru/account/1050688784/", 1050688784)</f>
        <v>1050688784</v>
      </c>
      <c r="D741" s="4">
        <v>13453.98</v>
      </c>
      <c r="E741">
        <v>2.98</v>
      </c>
    </row>
    <row r="742" spans="1:5" x14ac:dyDescent="0.25">
      <c r="A742" t="s">
        <v>380</v>
      </c>
      <c r="B742" t="s">
        <v>24</v>
      </c>
      <c r="C742" s="2">
        <f>HYPERLINK("https://cao.dolgi.msk.ru/account/1050689007/", 1050689007)</f>
        <v>1050689007</v>
      </c>
      <c r="D742" s="4">
        <v>6764.91</v>
      </c>
      <c r="E742">
        <v>1.03</v>
      </c>
    </row>
    <row r="743" spans="1:5" x14ac:dyDescent="0.25">
      <c r="A743" t="s">
        <v>380</v>
      </c>
      <c r="B743" t="s">
        <v>35</v>
      </c>
      <c r="C743" s="2">
        <f>HYPERLINK("https://cao.dolgi.msk.ru/account/1058145805/", 1058145805)</f>
        <v>1058145805</v>
      </c>
      <c r="D743" s="4">
        <v>237013.86</v>
      </c>
      <c r="E743">
        <v>11.93</v>
      </c>
    </row>
    <row r="744" spans="1:5" x14ac:dyDescent="0.25">
      <c r="A744" t="s">
        <v>380</v>
      </c>
      <c r="B744" t="s">
        <v>44</v>
      </c>
      <c r="C744" s="2">
        <f>HYPERLINK("https://cao.dolgi.msk.ru/account/1050689242/", 1050689242)</f>
        <v>1050689242</v>
      </c>
      <c r="D744" s="4">
        <v>7914.94</v>
      </c>
      <c r="E744">
        <v>2.0499999999999998</v>
      </c>
    </row>
    <row r="745" spans="1:5" x14ac:dyDescent="0.25">
      <c r="A745" t="s">
        <v>380</v>
      </c>
      <c r="B745" t="s">
        <v>46</v>
      </c>
      <c r="C745" s="2">
        <f>HYPERLINK("https://cao.dolgi.msk.ru/account/1050689277/", 1050689277)</f>
        <v>1050689277</v>
      </c>
      <c r="D745" s="4">
        <v>18920.189999999999</v>
      </c>
      <c r="E745">
        <v>3.51</v>
      </c>
    </row>
    <row r="746" spans="1:5" x14ac:dyDescent="0.25">
      <c r="A746" t="s">
        <v>380</v>
      </c>
      <c r="B746" t="s">
        <v>65</v>
      </c>
      <c r="C746" s="2">
        <f>HYPERLINK("https://cao.dolgi.msk.ru/account/1050689525/", 1050689525)</f>
        <v>1050689525</v>
      </c>
      <c r="D746" s="4">
        <v>6897.38</v>
      </c>
      <c r="E746">
        <v>2</v>
      </c>
    </row>
    <row r="747" spans="1:5" x14ac:dyDescent="0.25">
      <c r="A747" t="s">
        <v>380</v>
      </c>
      <c r="B747" t="s">
        <v>69</v>
      </c>
      <c r="C747" s="2">
        <f>HYPERLINK("https://cao.dolgi.msk.ru/account/1050689576/", 1050689576)</f>
        <v>1050689576</v>
      </c>
      <c r="D747" s="4">
        <v>8097.03</v>
      </c>
      <c r="E747">
        <v>1.51</v>
      </c>
    </row>
    <row r="748" spans="1:5" x14ac:dyDescent="0.25">
      <c r="A748" t="s">
        <v>380</v>
      </c>
      <c r="B748" t="s">
        <v>115</v>
      </c>
      <c r="C748" s="2">
        <f>HYPERLINK("https://cao.dolgi.msk.ru/account/1050690067/", 1050690067)</f>
        <v>1050690067</v>
      </c>
      <c r="D748" s="4">
        <v>62891.199999999997</v>
      </c>
      <c r="E748">
        <v>9.01</v>
      </c>
    </row>
    <row r="749" spans="1:5" x14ac:dyDescent="0.25">
      <c r="A749" t="s">
        <v>381</v>
      </c>
      <c r="B749" t="s">
        <v>19</v>
      </c>
      <c r="C749" s="2">
        <f>HYPERLINK("https://cao.dolgi.msk.ru/account/1058021415/", 1058021415)</f>
        <v>1058021415</v>
      </c>
      <c r="D749" s="4">
        <v>398187.49</v>
      </c>
      <c r="E749">
        <v>40.68</v>
      </c>
    </row>
    <row r="750" spans="1:5" x14ac:dyDescent="0.25">
      <c r="A750" t="s">
        <v>381</v>
      </c>
      <c r="B750" t="s">
        <v>38</v>
      </c>
      <c r="C750" s="2">
        <f>HYPERLINK("https://cao.dolgi.msk.ru/account/1050301738/", 1050301738)</f>
        <v>1050301738</v>
      </c>
      <c r="D750" s="4">
        <v>27888.61</v>
      </c>
      <c r="E750">
        <v>1.96</v>
      </c>
    </row>
    <row r="751" spans="1:5" x14ac:dyDescent="0.25">
      <c r="A751" t="s">
        <v>381</v>
      </c>
      <c r="B751" t="s">
        <v>45</v>
      </c>
      <c r="C751" s="2">
        <f>HYPERLINK("https://cao.dolgi.msk.ru/account/1050301826/", 1050301826)</f>
        <v>1050301826</v>
      </c>
      <c r="D751" s="4">
        <v>50824.22</v>
      </c>
      <c r="E751">
        <v>4</v>
      </c>
    </row>
    <row r="752" spans="1:5" x14ac:dyDescent="0.25">
      <c r="A752" t="s">
        <v>381</v>
      </c>
      <c r="B752" t="s">
        <v>94</v>
      </c>
      <c r="C752" s="2">
        <f>HYPERLINK("https://cao.dolgi.msk.ru/account/1050301869/", 1050301869)</f>
        <v>1050301869</v>
      </c>
      <c r="D752" s="4">
        <v>8324.48</v>
      </c>
      <c r="E752">
        <v>1.04</v>
      </c>
    </row>
    <row r="753" spans="1:5" x14ac:dyDescent="0.25">
      <c r="A753" t="s">
        <v>381</v>
      </c>
      <c r="B753" t="s">
        <v>49</v>
      </c>
      <c r="C753" s="2">
        <f>HYPERLINK("https://cao.dolgi.msk.ru/account/1050301893/", 1050301893)</f>
        <v>1050301893</v>
      </c>
      <c r="D753" s="4">
        <v>38441.629999999997</v>
      </c>
      <c r="E753">
        <v>2.95</v>
      </c>
    </row>
    <row r="754" spans="1:5" x14ac:dyDescent="0.25">
      <c r="A754" t="s">
        <v>381</v>
      </c>
      <c r="B754" t="s">
        <v>55</v>
      </c>
      <c r="C754" s="2">
        <f>HYPERLINK("https://cao.dolgi.msk.ru/account/1050301965/", 1050301965)</f>
        <v>1050301965</v>
      </c>
      <c r="D754" s="4">
        <v>15458.84</v>
      </c>
      <c r="E754">
        <v>1.02</v>
      </c>
    </row>
    <row r="755" spans="1:5" x14ac:dyDescent="0.25">
      <c r="A755" t="s">
        <v>381</v>
      </c>
      <c r="B755" t="s">
        <v>75</v>
      </c>
      <c r="C755" s="2">
        <f>HYPERLINK("https://cao.dolgi.msk.ru/account/1050302204/", 1050302204)</f>
        <v>1050302204</v>
      </c>
      <c r="D755" s="4">
        <v>31359.98</v>
      </c>
      <c r="E755">
        <v>1.79</v>
      </c>
    </row>
    <row r="756" spans="1:5" x14ac:dyDescent="0.25">
      <c r="A756" t="s">
        <v>381</v>
      </c>
      <c r="B756" t="s">
        <v>81</v>
      </c>
      <c r="C756" s="2">
        <f>HYPERLINK("https://cao.dolgi.msk.ru/account/1050302271/", 1050302271)</f>
        <v>1050302271</v>
      </c>
      <c r="D756" s="4">
        <v>48056.13</v>
      </c>
      <c r="E756">
        <v>2.96</v>
      </c>
    </row>
    <row r="757" spans="1:5" x14ac:dyDescent="0.25">
      <c r="A757" t="s">
        <v>381</v>
      </c>
      <c r="B757" t="s">
        <v>84</v>
      </c>
      <c r="C757" s="2">
        <f>HYPERLINK("https://cao.dolgi.msk.ru/account/1050302327/", 1050302327)</f>
        <v>1050302327</v>
      </c>
      <c r="D757" s="4">
        <v>16200.1</v>
      </c>
      <c r="E757">
        <v>1.84</v>
      </c>
    </row>
    <row r="758" spans="1:5" x14ac:dyDescent="0.25">
      <c r="A758" t="s">
        <v>381</v>
      </c>
      <c r="B758" t="s">
        <v>85</v>
      </c>
      <c r="C758" s="2">
        <f>HYPERLINK("https://cao.dolgi.msk.ru/account/1050302335/", 1050302335)</f>
        <v>1050302335</v>
      </c>
      <c r="D758" s="4">
        <v>20250.169999999998</v>
      </c>
      <c r="E758">
        <v>1.94</v>
      </c>
    </row>
    <row r="759" spans="1:5" x14ac:dyDescent="0.25">
      <c r="A759" t="s">
        <v>381</v>
      </c>
      <c r="B759" t="s">
        <v>99</v>
      </c>
      <c r="C759" s="2">
        <f>HYPERLINK("https://cao.dolgi.msk.ru/account/1050302458/", 1050302458)</f>
        <v>1050302458</v>
      </c>
      <c r="D759" s="4">
        <v>74512.710000000006</v>
      </c>
      <c r="E759">
        <v>4.1399999999999997</v>
      </c>
    </row>
    <row r="760" spans="1:5" x14ac:dyDescent="0.25">
      <c r="A760" t="s">
        <v>381</v>
      </c>
      <c r="B760" t="s">
        <v>102</v>
      </c>
      <c r="C760" s="2">
        <f>HYPERLINK("https://cao.dolgi.msk.ru/account/1050302482/", 1050302482)</f>
        <v>1050302482</v>
      </c>
      <c r="D760" s="4">
        <v>14455.65</v>
      </c>
      <c r="E760">
        <v>1.95</v>
      </c>
    </row>
    <row r="761" spans="1:5" x14ac:dyDescent="0.25">
      <c r="A761" t="s">
        <v>382</v>
      </c>
      <c r="B761" t="s">
        <v>13</v>
      </c>
      <c r="C761" s="2">
        <f>HYPERLINK("https://cao.dolgi.msk.ru/account/1050296131/", 1050296131)</f>
        <v>1050296131</v>
      </c>
      <c r="D761" s="4">
        <v>75973.23</v>
      </c>
      <c r="E761">
        <v>18.09</v>
      </c>
    </row>
    <row r="762" spans="1:5" x14ac:dyDescent="0.25">
      <c r="A762" t="s">
        <v>382</v>
      </c>
      <c r="B762" t="s">
        <v>19</v>
      </c>
      <c r="C762" s="2">
        <f>HYPERLINK("https://cao.dolgi.msk.ru/account/1058157283/", 1058157283)</f>
        <v>1058157283</v>
      </c>
      <c r="D762" s="4">
        <v>12330.77</v>
      </c>
      <c r="E762">
        <v>3.16</v>
      </c>
    </row>
    <row r="763" spans="1:5" x14ac:dyDescent="0.25">
      <c r="A763" t="s">
        <v>382</v>
      </c>
      <c r="B763" t="s">
        <v>38</v>
      </c>
      <c r="C763" s="2">
        <f>HYPERLINK("https://cao.dolgi.msk.ru/account/1050296609/", 1050296609)</f>
        <v>1050296609</v>
      </c>
      <c r="D763" s="4">
        <v>20229.080000000002</v>
      </c>
      <c r="E763">
        <v>2</v>
      </c>
    </row>
    <row r="764" spans="1:5" x14ac:dyDescent="0.25">
      <c r="A764" t="s">
        <v>382</v>
      </c>
      <c r="B764" t="s">
        <v>44</v>
      </c>
      <c r="C764" s="2">
        <f>HYPERLINK("https://cao.dolgi.msk.ru/account/1050296676/", 1050296676)</f>
        <v>1050296676</v>
      </c>
      <c r="D764" s="4">
        <v>191362.95</v>
      </c>
      <c r="E764">
        <v>20</v>
      </c>
    </row>
    <row r="765" spans="1:5" x14ac:dyDescent="0.25">
      <c r="A765" t="s">
        <v>382</v>
      </c>
      <c r="B765" t="s">
        <v>95</v>
      </c>
      <c r="C765" s="2">
        <f>HYPERLINK("https://cao.dolgi.msk.ru/account/1050296721/", 1050296721)</f>
        <v>1050296721</v>
      </c>
      <c r="D765" s="4">
        <v>96388.82</v>
      </c>
      <c r="E765">
        <v>18.04</v>
      </c>
    </row>
    <row r="766" spans="1:5" x14ac:dyDescent="0.25">
      <c r="A766" t="s">
        <v>382</v>
      </c>
      <c r="B766" t="s">
        <v>76</v>
      </c>
      <c r="C766" s="2">
        <f>HYPERLINK("https://cao.dolgi.msk.ru/account/1050297249/", 1050297249)</f>
        <v>1050297249</v>
      </c>
      <c r="D766" s="4">
        <v>12137.06</v>
      </c>
      <c r="E766">
        <v>1.97</v>
      </c>
    </row>
    <row r="767" spans="1:5" x14ac:dyDescent="0.25">
      <c r="A767" t="s">
        <v>382</v>
      </c>
      <c r="B767" t="s">
        <v>82</v>
      </c>
      <c r="C767" s="2">
        <f>HYPERLINK("https://cao.dolgi.msk.ru/account/1050297361/", 1050297361)</f>
        <v>1050297361</v>
      </c>
      <c r="D767" s="4">
        <v>5636.19</v>
      </c>
      <c r="E767">
        <v>1.05</v>
      </c>
    </row>
    <row r="768" spans="1:5" x14ac:dyDescent="0.25">
      <c r="A768" t="s">
        <v>382</v>
      </c>
      <c r="B768" t="s">
        <v>111</v>
      </c>
      <c r="C768" s="2">
        <f>HYPERLINK("https://cao.dolgi.msk.ru/account/1050297732/", 1050297732)</f>
        <v>1050297732</v>
      </c>
      <c r="D768" s="4">
        <v>10503.38</v>
      </c>
      <c r="E768">
        <v>1.97</v>
      </c>
    </row>
    <row r="769" spans="1:5" x14ac:dyDescent="0.25">
      <c r="A769" t="s">
        <v>382</v>
      </c>
      <c r="B769" t="s">
        <v>125</v>
      </c>
      <c r="C769" s="2">
        <f>HYPERLINK("https://cao.dolgi.msk.ru/account/1050298006/", 1050298006)</f>
        <v>1050298006</v>
      </c>
      <c r="D769" s="4">
        <v>301392.83</v>
      </c>
      <c r="E769">
        <v>42.13</v>
      </c>
    </row>
    <row r="770" spans="1:5" x14ac:dyDescent="0.25">
      <c r="A770" t="s">
        <v>382</v>
      </c>
      <c r="B770" t="s">
        <v>131</v>
      </c>
      <c r="C770" s="2">
        <f>HYPERLINK("https://cao.dolgi.msk.ru/account/1050298129/", 1050298129)</f>
        <v>1050298129</v>
      </c>
      <c r="D770" s="4">
        <v>8794.5400000000009</v>
      </c>
      <c r="E770">
        <v>1.99</v>
      </c>
    </row>
    <row r="771" spans="1:5" x14ac:dyDescent="0.25">
      <c r="A771" t="s">
        <v>382</v>
      </c>
      <c r="B771" t="s">
        <v>143</v>
      </c>
      <c r="C771" s="2">
        <f>HYPERLINK("https://cao.dolgi.msk.ru/account/1050298292/", 1050298292)</f>
        <v>1050298292</v>
      </c>
      <c r="D771" s="4">
        <v>15686.42</v>
      </c>
      <c r="E771">
        <v>2.74</v>
      </c>
    </row>
    <row r="772" spans="1:5" x14ac:dyDescent="0.25">
      <c r="A772" t="s">
        <v>382</v>
      </c>
      <c r="B772" t="s">
        <v>153</v>
      </c>
      <c r="C772" s="2">
        <f>HYPERLINK("https://cao.dolgi.msk.ru/account/1050298452/", 1050298452)</f>
        <v>1050298452</v>
      </c>
      <c r="D772" s="4">
        <v>9667.33</v>
      </c>
      <c r="E772">
        <v>1.72</v>
      </c>
    </row>
    <row r="773" spans="1:5" x14ac:dyDescent="0.25">
      <c r="A773" t="s">
        <v>382</v>
      </c>
      <c r="B773" t="s">
        <v>157</v>
      </c>
      <c r="C773" s="2">
        <f>HYPERLINK("https://cao.dolgi.msk.ru/account/1050298524/", 1050298524)</f>
        <v>1050298524</v>
      </c>
      <c r="D773" s="4">
        <v>31451.25</v>
      </c>
      <c r="E773">
        <v>8.07</v>
      </c>
    </row>
    <row r="774" spans="1:5" x14ac:dyDescent="0.25">
      <c r="A774" t="s">
        <v>383</v>
      </c>
      <c r="B774" t="s">
        <v>6</v>
      </c>
      <c r="C774" s="2">
        <f>HYPERLINK("https://cao.dolgi.msk.ru/account/1050302562/", 1050302562)</f>
        <v>1050302562</v>
      </c>
      <c r="D774" s="4">
        <v>44725.31</v>
      </c>
      <c r="E774">
        <v>3.71</v>
      </c>
    </row>
    <row r="775" spans="1:5" x14ac:dyDescent="0.25">
      <c r="A775" t="s">
        <v>383</v>
      </c>
      <c r="B775" t="s">
        <v>11</v>
      </c>
      <c r="C775" s="2">
        <f>HYPERLINK("https://cao.dolgi.msk.ru/account/1050302634/", 1050302634)</f>
        <v>1050302634</v>
      </c>
      <c r="D775" s="4">
        <v>31165.84</v>
      </c>
      <c r="E775">
        <v>2.94</v>
      </c>
    </row>
    <row r="776" spans="1:5" x14ac:dyDescent="0.25">
      <c r="A776" t="s">
        <v>383</v>
      </c>
      <c r="B776" t="s">
        <v>12</v>
      </c>
      <c r="C776" s="2">
        <f>HYPERLINK("https://cao.dolgi.msk.ru/account/1050302642/", 1050302642)</f>
        <v>1050302642</v>
      </c>
      <c r="D776" s="4">
        <v>36398.839999999997</v>
      </c>
      <c r="E776">
        <v>2.95</v>
      </c>
    </row>
    <row r="777" spans="1:5" x14ac:dyDescent="0.25">
      <c r="A777" t="s">
        <v>383</v>
      </c>
      <c r="B777" t="s">
        <v>13</v>
      </c>
      <c r="C777" s="2">
        <f>HYPERLINK("https://cao.dolgi.msk.ru/account/1050302669/", 1050302669)</f>
        <v>1050302669</v>
      </c>
      <c r="D777" s="4">
        <v>673878.48</v>
      </c>
      <c r="E777">
        <v>71.86</v>
      </c>
    </row>
    <row r="778" spans="1:5" x14ac:dyDescent="0.25">
      <c r="A778" t="s">
        <v>383</v>
      </c>
      <c r="B778" t="s">
        <v>93</v>
      </c>
      <c r="C778" s="2">
        <f>HYPERLINK("https://cao.dolgi.msk.ru/account/1050302722/", 1050302722)</f>
        <v>1050302722</v>
      </c>
      <c r="D778" s="4">
        <v>33250.949999999997</v>
      </c>
      <c r="E778">
        <v>2.0099999999999998</v>
      </c>
    </row>
    <row r="779" spans="1:5" x14ac:dyDescent="0.25">
      <c r="A779" t="s">
        <v>383</v>
      </c>
      <c r="B779" t="s">
        <v>29</v>
      </c>
      <c r="C779" s="2">
        <f>HYPERLINK("https://cao.dolgi.msk.ru/account/1050302845/", 1050302845)</f>
        <v>1050302845</v>
      </c>
      <c r="D779" s="4">
        <v>8459.3799999999992</v>
      </c>
      <c r="E779">
        <v>1.1100000000000001</v>
      </c>
    </row>
    <row r="780" spans="1:5" x14ac:dyDescent="0.25">
      <c r="A780" t="s">
        <v>383</v>
      </c>
      <c r="B780" t="s">
        <v>41</v>
      </c>
      <c r="C780" s="2">
        <f>HYPERLINK("https://cao.dolgi.msk.ru/account/1050302984/", 1050302984)</f>
        <v>1050302984</v>
      </c>
      <c r="D780" s="4">
        <v>70328.12</v>
      </c>
      <c r="E780">
        <v>2.74</v>
      </c>
    </row>
    <row r="781" spans="1:5" x14ac:dyDescent="0.25">
      <c r="A781" t="s">
        <v>383</v>
      </c>
      <c r="B781" t="s">
        <v>50</v>
      </c>
      <c r="C781" s="2">
        <f>HYPERLINK("https://cao.dolgi.msk.ru/account/1050303127/", 1050303127)</f>
        <v>1050303127</v>
      </c>
      <c r="D781" s="4">
        <v>30933.68</v>
      </c>
      <c r="E781">
        <v>1.98</v>
      </c>
    </row>
    <row r="782" spans="1:5" x14ac:dyDescent="0.25">
      <c r="A782" t="s">
        <v>383</v>
      </c>
      <c r="B782" t="s">
        <v>51</v>
      </c>
      <c r="C782" s="2">
        <f>HYPERLINK("https://cao.dolgi.msk.ru/account/1050303135/", 1050303135)</f>
        <v>1050303135</v>
      </c>
      <c r="D782" s="4">
        <v>9407.0400000000009</v>
      </c>
      <c r="E782">
        <v>1.01</v>
      </c>
    </row>
    <row r="783" spans="1:5" x14ac:dyDescent="0.25">
      <c r="A783" t="s">
        <v>383</v>
      </c>
      <c r="B783" t="s">
        <v>58</v>
      </c>
      <c r="C783" s="2">
        <f>HYPERLINK("https://cao.dolgi.msk.ru/account/1050303215/", 1050303215)</f>
        <v>1050303215</v>
      </c>
      <c r="D783" s="4">
        <v>28033.86</v>
      </c>
      <c r="E783">
        <v>2.13</v>
      </c>
    </row>
    <row r="784" spans="1:5" x14ac:dyDescent="0.25">
      <c r="A784" t="s">
        <v>383</v>
      </c>
      <c r="B784" t="s">
        <v>64</v>
      </c>
      <c r="C784" s="2">
        <f>HYPERLINK("https://cao.dolgi.msk.ru/account/1050303282/", 1050303282)</f>
        <v>1050303282</v>
      </c>
      <c r="D784" s="4">
        <v>18133.689999999999</v>
      </c>
      <c r="E784">
        <v>2.08</v>
      </c>
    </row>
    <row r="785" spans="1:5" x14ac:dyDescent="0.25">
      <c r="A785" t="s">
        <v>383</v>
      </c>
      <c r="B785" t="s">
        <v>65</v>
      </c>
      <c r="C785" s="2">
        <f>HYPERLINK("https://cao.dolgi.msk.ru/account/1050303303/", 1050303303)</f>
        <v>1050303303</v>
      </c>
      <c r="D785" s="4">
        <v>24281.87</v>
      </c>
      <c r="E785">
        <v>1.96</v>
      </c>
    </row>
    <row r="786" spans="1:5" x14ac:dyDescent="0.25">
      <c r="A786" t="s">
        <v>383</v>
      </c>
      <c r="B786" t="s">
        <v>74</v>
      </c>
      <c r="C786" s="2">
        <f>HYPERLINK("https://cao.dolgi.msk.ru/account/1050303426/", 1050303426)</f>
        <v>1050303426</v>
      </c>
      <c r="D786" s="4">
        <v>56245.34</v>
      </c>
      <c r="E786">
        <v>4</v>
      </c>
    </row>
    <row r="787" spans="1:5" x14ac:dyDescent="0.25">
      <c r="A787" t="s">
        <v>383</v>
      </c>
      <c r="B787" t="s">
        <v>77</v>
      </c>
      <c r="C787" s="2">
        <f>HYPERLINK("https://cao.dolgi.msk.ru/account/1050303469/", 1050303469)</f>
        <v>1050303469</v>
      </c>
      <c r="D787" s="4">
        <v>50935.199999999997</v>
      </c>
      <c r="E787">
        <v>1.99</v>
      </c>
    </row>
    <row r="788" spans="1:5" x14ac:dyDescent="0.25">
      <c r="A788" t="s">
        <v>383</v>
      </c>
      <c r="B788" t="s">
        <v>87</v>
      </c>
      <c r="C788" s="2">
        <f>HYPERLINK("https://cao.dolgi.msk.ru/account/1050303581/", 1050303581)</f>
        <v>1050303581</v>
      </c>
      <c r="D788" s="4">
        <v>11844.91</v>
      </c>
      <c r="E788">
        <v>1.21</v>
      </c>
    </row>
    <row r="789" spans="1:5" x14ac:dyDescent="0.25">
      <c r="A789" t="s">
        <v>383</v>
      </c>
      <c r="B789" t="s">
        <v>115</v>
      </c>
      <c r="C789" s="2">
        <f>HYPERLINK("https://cao.dolgi.msk.ru/account/1050303864/", 1050303864)</f>
        <v>1050303864</v>
      </c>
      <c r="D789" s="4">
        <v>31749.63</v>
      </c>
      <c r="E789">
        <v>1.37</v>
      </c>
    </row>
    <row r="790" spans="1:5" x14ac:dyDescent="0.25">
      <c r="A790" t="s">
        <v>383</v>
      </c>
      <c r="B790" t="s">
        <v>119</v>
      </c>
      <c r="C790" s="2">
        <f>HYPERLINK("https://cao.dolgi.msk.ru/account/1050303944/", 1050303944)</f>
        <v>1050303944</v>
      </c>
      <c r="D790" s="4">
        <v>56374.9</v>
      </c>
      <c r="E790">
        <v>2.69</v>
      </c>
    </row>
    <row r="791" spans="1:5" x14ac:dyDescent="0.25">
      <c r="A791" t="s">
        <v>384</v>
      </c>
      <c r="B791" t="s">
        <v>8</v>
      </c>
      <c r="C791" s="2">
        <f>HYPERLINK("https://cao.dolgi.msk.ru/account/1059010259/", 1059010259)</f>
        <v>1059010259</v>
      </c>
      <c r="D791" s="4">
        <v>8354.67</v>
      </c>
      <c r="E791">
        <v>1.1000000000000001</v>
      </c>
    </row>
    <row r="792" spans="1:5" x14ac:dyDescent="0.25">
      <c r="A792" t="s">
        <v>384</v>
      </c>
      <c r="B792" t="s">
        <v>16</v>
      </c>
      <c r="C792" s="2">
        <f>HYPERLINK("https://cao.dolgi.msk.ru/account/1058104261/", 1058104261)</f>
        <v>1058104261</v>
      </c>
      <c r="D792" s="4">
        <v>7641.51</v>
      </c>
      <c r="E792">
        <v>1.03</v>
      </c>
    </row>
    <row r="793" spans="1:5" x14ac:dyDescent="0.25">
      <c r="A793" t="s">
        <v>384</v>
      </c>
      <c r="B793" t="s">
        <v>19</v>
      </c>
      <c r="C793" s="2">
        <f>HYPERLINK("https://cao.dolgi.msk.ru/account/1058018822/", 1058018822)</f>
        <v>1058018822</v>
      </c>
      <c r="D793" s="4">
        <v>12441.98</v>
      </c>
      <c r="E793">
        <v>1.22</v>
      </c>
    </row>
    <row r="794" spans="1:5" x14ac:dyDescent="0.25">
      <c r="A794" t="s">
        <v>385</v>
      </c>
      <c r="B794" t="s">
        <v>6</v>
      </c>
      <c r="C794" s="2">
        <f>HYPERLINK("https://cao.dolgi.msk.ru/account/1050283998/", 1050283998)</f>
        <v>1050283998</v>
      </c>
      <c r="D794" s="4">
        <v>9421.84</v>
      </c>
      <c r="E794">
        <v>2.72</v>
      </c>
    </row>
    <row r="795" spans="1:5" x14ac:dyDescent="0.25">
      <c r="A795" t="s">
        <v>385</v>
      </c>
      <c r="B795" t="s">
        <v>23</v>
      </c>
      <c r="C795" s="2">
        <f>HYPERLINK("https://cao.dolgi.msk.ru/account/1050284376/", 1050284376)</f>
        <v>1050284376</v>
      </c>
      <c r="D795" s="4">
        <v>10230.530000000001</v>
      </c>
      <c r="E795">
        <v>1.81</v>
      </c>
    </row>
    <row r="796" spans="1:5" x14ac:dyDescent="0.25">
      <c r="A796" t="s">
        <v>385</v>
      </c>
      <c r="B796" t="s">
        <v>33</v>
      </c>
      <c r="C796" s="2">
        <f>HYPERLINK("https://cao.dolgi.msk.ru/account/1050284579/", 1050284579)</f>
        <v>1050284579</v>
      </c>
      <c r="D796" s="4">
        <v>16197.15</v>
      </c>
      <c r="E796">
        <v>1.53</v>
      </c>
    </row>
    <row r="797" spans="1:5" x14ac:dyDescent="0.25">
      <c r="A797" t="s">
        <v>385</v>
      </c>
      <c r="B797" t="s">
        <v>39</v>
      </c>
      <c r="C797" s="2">
        <f>HYPERLINK("https://cao.dolgi.msk.ru/account/1050284691/", 1050284691)</f>
        <v>1050284691</v>
      </c>
      <c r="D797" s="4">
        <v>13697.16</v>
      </c>
      <c r="E797">
        <v>2</v>
      </c>
    </row>
    <row r="798" spans="1:5" x14ac:dyDescent="0.25">
      <c r="A798" t="s">
        <v>385</v>
      </c>
      <c r="B798" t="s">
        <v>44</v>
      </c>
      <c r="C798" s="2">
        <f>HYPERLINK("https://cao.dolgi.msk.ru/account/1050284819/", 1050284819)</f>
        <v>1050284819</v>
      </c>
      <c r="D798" s="4">
        <v>18904.23</v>
      </c>
      <c r="E798">
        <v>2.97</v>
      </c>
    </row>
    <row r="799" spans="1:5" x14ac:dyDescent="0.25">
      <c r="A799" t="s">
        <v>385</v>
      </c>
      <c r="B799" t="s">
        <v>72</v>
      </c>
      <c r="C799" s="2">
        <f>HYPERLINK("https://cao.dolgi.msk.ru/account/1050285467/", 1050285467)</f>
        <v>1050285467</v>
      </c>
      <c r="D799" s="4">
        <v>17726.259999999998</v>
      </c>
      <c r="E799">
        <v>6.01</v>
      </c>
    </row>
    <row r="800" spans="1:5" x14ac:dyDescent="0.25">
      <c r="A800" t="s">
        <v>385</v>
      </c>
      <c r="B800" t="s">
        <v>98</v>
      </c>
      <c r="C800" s="2">
        <f>HYPERLINK("https://cao.dolgi.msk.ru/account/1050285969/", 1050285969)</f>
        <v>1050285969</v>
      </c>
      <c r="D800" s="4">
        <v>7937.48</v>
      </c>
      <c r="E800">
        <v>1.54</v>
      </c>
    </row>
    <row r="801" spans="1:5" x14ac:dyDescent="0.25">
      <c r="A801" t="s">
        <v>385</v>
      </c>
      <c r="B801" t="s">
        <v>100</v>
      </c>
      <c r="C801" s="2">
        <f>HYPERLINK("https://cao.dolgi.msk.ru/account/1058103226/", 1058103226)</f>
        <v>1058103226</v>
      </c>
      <c r="D801" s="4">
        <v>12334.88</v>
      </c>
      <c r="E801">
        <v>2</v>
      </c>
    </row>
    <row r="802" spans="1:5" x14ac:dyDescent="0.25">
      <c r="A802" t="s">
        <v>386</v>
      </c>
      <c r="B802" t="s">
        <v>118</v>
      </c>
      <c r="C802" s="2">
        <f>HYPERLINK("https://cao.dolgi.msk.ru/account/1050286304/", 1050286304)</f>
        <v>1050286304</v>
      </c>
      <c r="D802" s="4">
        <v>12203.78</v>
      </c>
      <c r="E802">
        <v>1.3</v>
      </c>
    </row>
    <row r="803" spans="1:5" x14ac:dyDescent="0.25">
      <c r="A803" t="s">
        <v>386</v>
      </c>
      <c r="B803" t="s">
        <v>119</v>
      </c>
      <c r="C803" s="2">
        <f>HYPERLINK("https://cao.dolgi.msk.ru/account/1050286355/", 1050286355)</f>
        <v>1050286355</v>
      </c>
      <c r="D803" s="4">
        <v>5070.21</v>
      </c>
      <c r="E803">
        <v>1.22</v>
      </c>
    </row>
    <row r="804" spans="1:5" x14ac:dyDescent="0.25">
      <c r="A804" t="s">
        <v>386</v>
      </c>
      <c r="B804" t="s">
        <v>122</v>
      </c>
      <c r="C804" s="2">
        <f>HYPERLINK("https://cao.dolgi.msk.ru/account/1050286427/", 1050286427)</f>
        <v>1050286427</v>
      </c>
      <c r="D804" s="4">
        <v>15841.98</v>
      </c>
      <c r="E804">
        <v>1.1499999999999999</v>
      </c>
    </row>
    <row r="805" spans="1:5" x14ac:dyDescent="0.25">
      <c r="A805" t="s">
        <v>386</v>
      </c>
      <c r="B805" t="s">
        <v>123</v>
      </c>
      <c r="C805" s="2">
        <f>HYPERLINK("https://cao.dolgi.msk.ru/account/1050286435/", 1050286435)</f>
        <v>1050286435</v>
      </c>
      <c r="D805" s="4">
        <v>6390.99</v>
      </c>
      <c r="E805">
        <v>1.26</v>
      </c>
    </row>
    <row r="806" spans="1:5" x14ac:dyDescent="0.25">
      <c r="A806" t="s">
        <v>386</v>
      </c>
      <c r="B806" t="s">
        <v>132</v>
      </c>
      <c r="C806" s="2">
        <f>HYPERLINK("https://cao.dolgi.msk.ru/account/1058091704/", 1058091704)</f>
        <v>1058091704</v>
      </c>
      <c r="D806" s="4">
        <v>9753.49</v>
      </c>
      <c r="E806">
        <v>1.98</v>
      </c>
    </row>
    <row r="807" spans="1:5" x14ac:dyDescent="0.25">
      <c r="A807" t="s">
        <v>386</v>
      </c>
      <c r="B807" t="s">
        <v>134</v>
      </c>
      <c r="C807" s="2">
        <f>HYPERLINK("https://cao.dolgi.msk.ru/account/1050286638/", 1050286638)</f>
        <v>1050286638</v>
      </c>
      <c r="D807" s="4">
        <v>10935.87</v>
      </c>
      <c r="E807">
        <v>1.26</v>
      </c>
    </row>
    <row r="808" spans="1:5" x14ac:dyDescent="0.25">
      <c r="A808" t="s">
        <v>386</v>
      </c>
      <c r="B808" t="s">
        <v>159</v>
      </c>
      <c r="C808" s="2">
        <f>HYPERLINK("https://cao.dolgi.msk.ru/account/1050287091/", 1050287091)</f>
        <v>1050287091</v>
      </c>
      <c r="D808" s="4">
        <v>7047.6</v>
      </c>
      <c r="E808">
        <v>1.34</v>
      </c>
    </row>
    <row r="809" spans="1:5" x14ac:dyDescent="0.25">
      <c r="A809" t="s">
        <v>386</v>
      </c>
      <c r="B809" t="s">
        <v>166</v>
      </c>
      <c r="C809" s="2">
        <f>HYPERLINK("https://cao.dolgi.msk.ru/account/1050287307/", 1050287307)</f>
        <v>1050287307</v>
      </c>
      <c r="D809" s="4">
        <v>37129.120000000003</v>
      </c>
      <c r="E809">
        <v>4.26</v>
      </c>
    </row>
    <row r="810" spans="1:5" x14ac:dyDescent="0.25">
      <c r="A810" t="s">
        <v>386</v>
      </c>
      <c r="B810" t="s">
        <v>169</v>
      </c>
      <c r="C810" s="2">
        <f>HYPERLINK("https://cao.dolgi.msk.ru/account/1050287331/", 1050287331)</f>
        <v>1050287331</v>
      </c>
      <c r="D810" s="4">
        <v>8522.49</v>
      </c>
      <c r="E810">
        <v>1.28</v>
      </c>
    </row>
    <row r="811" spans="1:5" x14ac:dyDescent="0.25">
      <c r="A811" t="s">
        <v>386</v>
      </c>
      <c r="B811" t="s">
        <v>178</v>
      </c>
      <c r="C811" s="2">
        <f>HYPERLINK("https://cao.dolgi.msk.ru/account/1050287585/", 1050287585)</f>
        <v>1050287585</v>
      </c>
      <c r="D811" s="4">
        <v>18032.02</v>
      </c>
      <c r="E811">
        <v>3</v>
      </c>
    </row>
    <row r="812" spans="1:5" x14ac:dyDescent="0.25">
      <c r="A812" t="s">
        <v>387</v>
      </c>
      <c r="B812" t="s">
        <v>10</v>
      </c>
      <c r="C812" s="2">
        <f>HYPERLINK("https://cao.dolgi.msk.ru/account/1050304007/", 1050304007)</f>
        <v>1050304007</v>
      </c>
      <c r="D812" s="4">
        <v>21779.31</v>
      </c>
      <c r="E812">
        <v>5.34</v>
      </c>
    </row>
    <row r="813" spans="1:5" x14ac:dyDescent="0.25">
      <c r="A813" t="s">
        <v>387</v>
      </c>
      <c r="B813" t="s">
        <v>12</v>
      </c>
      <c r="C813" s="2">
        <f>HYPERLINK("https://cao.dolgi.msk.ru/account/1058168708/", 1058168708)</f>
        <v>1058168708</v>
      </c>
      <c r="D813" s="4">
        <v>618168.32999999996</v>
      </c>
      <c r="E813">
        <v>32.65</v>
      </c>
    </row>
    <row r="814" spans="1:5" x14ac:dyDescent="0.25">
      <c r="A814" t="s">
        <v>387</v>
      </c>
      <c r="B814" t="s">
        <v>13</v>
      </c>
      <c r="C814" s="2">
        <f>HYPERLINK("https://cao.dolgi.msk.ru/account/1058131729/", 1058131729)</f>
        <v>1058131729</v>
      </c>
      <c r="D814" s="4">
        <v>133363.75</v>
      </c>
      <c r="E814">
        <v>12.36</v>
      </c>
    </row>
    <row r="815" spans="1:5" x14ac:dyDescent="0.25">
      <c r="A815" t="s">
        <v>387</v>
      </c>
      <c r="B815" t="s">
        <v>19</v>
      </c>
      <c r="C815" s="2">
        <f>HYPERLINK("https://cao.dolgi.msk.ru/account/1059011454/", 1059011454)</f>
        <v>1059011454</v>
      </c>
      <c r="D815" s="4">
        <v>29920.21</v>
      </c>
      <c r="E815">
        <v>1.61</v>
      </c>
    </row>
    <row r="816" spans="1:5" x14ac:dyDescent="0.25">
      <c r="A816" t="s">
        <v>387</v>
      </c>
      <c r="B816" t="s">
        <v>33</v>
      </c>
      <c r="C816" s="2">
        <f>HYPERLINK("https://cao.dolgi.msk.ru/account/1050304277/", 1050304277)</f>
        <v>1050304277</v>
      </c>
      <c r="D816" s="4">
        <v>24601.46</v>
      </c>
      <c r="E816">
        <v>1.93</v>
      </c>
    </row>
    <row r="817" spans="1:5" x14ac:dyDescent="0.25">
      <c r="A817" t="s">
        <v>387</v>
      </c>
      <c r="B817" t="s">
        <v>48</v>
      </c>
      <c r="C817" s="2">
        <f>HYPERLINK("https://cao.dolgi.msk.ru/account/1050304461/", 1050304461)</f>
        <v>1050304461</v>
      </c>
      <c r="D817" s="4">
        <v>13691.94</v>
      </c>
      <c r="E817">
        <v>1.72</v>
      </c>
    </row>
    <row r="818" spans="1:5" x14ac:dyDescent="0.25">
      <c r="A818" t="s">
        <v>387</v>
      </c>
      <c r="B818" t="s">
        <v>54</v>
      </c>
      <c r="C818" s="2">
        <f>HYPERLINK("https://cao.dolgi.msk.ru/account/1050304533/", 1050304533)</f>
        <v>1050304533</v>
      </c>
      <c r="D818" s="4">
        <v>23710.13</v>
      </c>
      <c r="E818">
        <v>2.86</v>
      </c>
    </row>
    <row r="819" spans="1:5" x14ac:dyDescent="0.25">
      <c r="A819" t="s">
        <v>387</v>
      </c>
      <c r="B819" t="s">
        <v>66</v>
      </c>
      <c r="C819" s="2">
        <f>HYPERLINK("https://cao.dolgi.msk.ru/account/1050304672/", 1050304672)</f>
        <v>1050304672</v>
      </c>
      <c r="D819" s="4">
        <v>25474.26</v>
      </c>
      <c r="E819">
        <v>4.3499999999999996</v>
      </c>
    </row>
    <row r="820" spans="1:5" x14ac:dyDescent="0.25">
      <c r="A820" t="s">
        <v>387</v>
      </c>
      <c r="B820" t="s">
        <v>81</v>
      </c>
      <c r="C820" s="2">
        <f>HYPERLINK("https://cao.dolgi.msk.ru/account/1050304867/", 1050304867)</f>
        <v>1050304867</v>
      </c>
      <c r="D820" s="4">
        <v>31562.12</v>
      </c>
      <c r="E820">
        <v>2</v>
      </c>
    </row>
    <row r="821" spans="1:5" x14ac:dyDescent="0.25">
      <c r="A821" t="s">
        <v>387</v>
      </c>
      <c r="B821" t="s">
        <v>83</v>
      </c>
      <c r="C821" s="2">
        <f>HYPERLINK("https://cao.dolgi.msk.ru/account/1050304883/", 1050304883)</f>
        <v>1050304883</v>
      </c>
      <c r="D821" s="4">
        <v>11665.93</v>
      </c>
      <c r="E821">
        <v>1.1100000000000001</v>
      </c>
    </row>
    <row r="822" spans="1:5" x14ac:dyDescent="0.25">
      <c r="A822" t="s">
        <v>387</v>
      </c>
      <c r="B822" t="s">
        <v>84</v>
      </c>
      <c r="C822" s="2">
        <f>HYPERLINK("https://cao.dolgi.msk.ru/account/1050304891/", 1050304891)</f>
        <v>1050304891</v>
      </c>
      <c r="D822" s="4">
        <v>27806.92</v>
      </c>
      <c r="E822">
        <v>1.34</v>
      </c>
    </row>
    <row r="823" spans="1:5" x14ac:dyDescent="0.25">
      <c r="A823" t="s">
        <v>387</v>
      </c>
      <c r="B823" t="s">
        <v>87</v>
      </c>
      <c r="C823" s="2">
        <f>HYPERLINK("https://cao.dolgi.msk.ru/account/1050304947/", 1050304947)</f>
        <v>1050304947</v>
      </c>
      <c r="D823" s="4">
        <v>13261.8</v>
      </c>
      <c r="E823">
        <v>1.02</v>
      </c>
    </row>
    <row r="824" spans="1:5" x14ac:dyDescent="0.25">
      <c r="A824" t="s">
        <v>387</v>
      </c>
      <c r="B824" t="s">
        <v>88</v>
      </c>
      <c r="C824" s="2">
        <f>HYPERLINK("https://cao.dolgi.msk.ru/account/1050304955/", 1050304955)</f>
        <v>1050304955</v>
      </c>
      <c r="D824" s="4">
        <v>42726.47</v>
      </c>
      <c r="E824">
        <v>3.93</v>
      </c>
    </row>
    <row r="825" spans="1:5" x14ac:dyDescent="0.25">
      <c r="A825" t="s">
        <v>387</v>
      </c>
      <c r="B825" t="s">
        <v>89</v>
      </c>
      <c r="C825" s="2">
        <f>HYPERLINK("https://cao.dolgi.msk.ru/account/1050304963/", 1050304963)</f>
        <v>1050304963</v>
      </c>
      <c r="D825" s="4">
        <v>19790.099999999999</v>
      </c>
      <c r="E825">
        <v>1.75</v>
      </c>
    </row>
    <row r="826" spans="1:5" x14ac:dyDescent="0.25">
      <c r="A826" t="s">
        <v>387</v>
      </c>
      <c r="B826" t="s">
        <v>90</v>
      </c>
      <c r="C826" s="2">
        <f>HYPERLINK("https://cao.dolgi.msk.ru/account/1050304971/", 1050304971)</f>
        <v>1050304971</v>
      </c>
      <c r="D826" s="4">
        <v>10938.35</v>
      </c>
      <c r="E826">
        <v>1.35</v>
      </c>
    </row>
    <row r="827" spans="1:5" x14ac:dyDescent="0.25">
      <c r="A827" t="s">
        <v>387</v>
      </c>
      <c r="B827" t="s">
        <v>106</v>
      </c>
      <c r="C827" s="2">
        <f>HYPERLINK("https://cao.dolgi.msk.ru/account/1050305114/", 1050305114)</f>
        <v>1050305114</v>
      </c>
      <c r="D827" s="4">
        <v>17730.32</v>
      </c>
      <c r="E827">
        <v>1.01</v>
      </c>
    </row>
    <row r="828" spans="1:5" x14ac:dyDescent="0.25">
      <c r="A828" t="s">
        <v>387</v>
      </c>
      <c r="B828" t="s">
        <v>110</v>
      </c>
      <c r="C828" s="2">
        <f>HYPERLINK("https://cao.dolgi.msk.ru/account/1050305165/", 1050305165)</f>
        <v>1050305165</v>
      </c>
      <c r="D828" s="4">
        <v>26927.279999999999</v>
      </c>
      <c r="E828">
        <v>1.0900000000000001</v>
      </c>
    </row>
    <row r="829" spans="1:5" x14ac:dyDescent="0.25">
      <c r="A829" t="s">
        <v>388</v>
      </c>
      <c r="B829" t="s">
        <v>29</v>
      </c>
      <c r="C829" s="2">
        <f>HYPERLINK("https://cao.dolgi.msk.ru/account/1050305704/", 1050305704)</f>
        <v>1050305704</v>
      </c>
      <c r="D829" s="4">
        <v>30132.15</v>
      </c>
      <c r="E829">
        <v>2.94</v>
      </c>
    </row>
    <row r="830" spans="1:5" x14ac:dyDescent="0.25">
      <c r="A830" t="s">
        <v>388</v>
      </c>
      <c r="B830" t="s">
        <v>46</v>
      </c>
      <c r="C830" s="2">
        <f>HYPERLINK("https://cao.dolgi.msk.ru/account/1050305907/", 1050305907)</f>
        <v>1050305907</v>
      </c>
      <c r="D830" s="4">
        <v>38775.72</v>
      </c>
      <c r="E830">
        <v>1.96</v>
      </c>
    </row>
    <row r="831" spans="1:5" x14ac:dyDescent="0.25">
      <c r="A831" t="s">
        <v>388</v>
      </c>
      <c r="B831" t="s">
        <v>51</v>
      </c>
      <c r="C831" s="2">
        <f>HYPERLINK("https://cao.dolgi.msk.ru/account/1050305982/", 1050305982)</f>
        <v>1050305982</v>
      </c>
      <c r="D831" s="4">
        <v>281071.23</v>
      </c>
      <c r="E831">
        <v>30.71</v>
      </c>
    </row>
    <row r="832" spans="1:5" x14ac:dyDescent="0.25">
      <c r="A832" t="s">
        <v>388</v>
      </c>
      <c r="B832" t="s">
        <v>68</v>
      </c>
      <c r="C832" s="2">
        <f>HYPERLINK("https://cao.dolgi.msk.ru/account/1050306176/", 1050306176)</f>
        <v>1050306176</v>
      </c>
      <c r="D832" s="4">
        <v>41090.339999999997</v>
      </c>
      <c r="E832">
        <v>3.99</v>
      </c>
    </row>
    <row r="833" spans="1:5" x14ac:dyDescent="0.25">
      <c r="A833" t="s">
        <v>388</v>
      </c>
      <c r="B833" t="s">
        <v>69</v>
      </c>
      <c r="C833" s="2">
        <f>HYPERLINK("https://cao.dolgi.msk.ru/account/1050306184/", 1050306184)</f>
        <v>1050306184</v>
      </c>
      <c r="D833" s="4">
        <v>61616.59</v>
      </c>
      <c r="E833">
        <v>6.15</v>
      </c>
    </row>
    <row r="834" spans="1:5" x14ac:dyDescent="0.25">
      <c r="A834" t="s">
        <v>388</v>
      </c>
      <c r="B834" t="s">
        <v>74</v>
      </c>
      <c r="C834" s="2">
        <f>HYPERLINK("https://cao.dolgi.msk.ru/account/1050306248/", 1050306248)</f>
        <v>1050306248</v>
      </c>
      <c r="D834" s="4">
        <v>13950.31</v>
      </c>
      <c r="E834">
        <v>2.2999999999999998</v>
      </c>
    </row>
    <row r="835" spans="1:5" x14ac:dyDescent="0.25">
      <c r="A835" t="s">
        <v>388</v>
      </c>
      <c r="B835" t="s">
        <v>84</v>
      </c>
      <c r="C835" s="2">
        <f>HYPERLINK("https://cao.dolgi.msk.ru/account/1050306379/", 1050306379)</f>
        <v>1050306379</v>
      </c>
      <c r="D835" s="4">
        <v>25130.34</v>
      </c>
      <c r="E835">
        <v>2.02</v>
      </c>
    </row>
    <row r="836" spans="1:5" x14ac:dyDescent="0.25">
      <c r="A836" t="s">
        <v>388</v>
      </c>
      <c r="B836" t="s">
        <v>87</v>
      </c>
      <c r="C836" s="2">
        <f>HYPERLINK("https://cao.dolgi.msk.ru/account/1058149275/", 1058149275)</f>
        <v>1058149275</v>
      </c>
      <c r="D836" s="4">
        <v>14707.46</v>
      </c>
      <c r="E836">
        <v>2.5299999999999998</v>
      </c>
    </row>
    <row r="837" spans="1:5" x14ac:dyDescent="0.25">
      <c r="A837" t="s">
        <v>388</v>
      </c>
      <c r="B837" t="s">
        <v>88</v>
      </c>
      <c r="C837" s="2">
        <f>HYPERLINK("https://cao.dolgi.msk.ru/account/1050306416/", 1050306416)</f>
        <v>1050306416</v>
      </c>
      <c r="D837" s="4">
        <v>184139.16</v>
      </c>
      <c r="E837">
        <v>21.36</v>
      </c>
    </row>
    <row r="838" spans="1:5" x14ac:dyDescent="0.25">
      <c r="A838" t="s">
        <v>388</v>
      </c>
      <c r="B838" t="s">
        <v>101</v>
      </c>
      <c r="C838" s="2">
        <f>HYPERLINK("https://cao.dolgi.msk.ru/account/1050306504/", 1050306504)</f>
        <v>1050306504</v>
      </c>
      <c r="D838" s="4">
        <v>17567.919999999998</v>
      </c>
      <c r="E838">
        <v>1.96</v>
      </c>
    </row>
    <row r="839" spans="1:5" x14ac:dyDescent="0.25">
      <c r="A839" t="s">
        <v>388</v>
      </c>
      <c r="B839" t="s">
        <v>105</v>
      </c>
      <c r="C839" s="2">
        <f>HYPERLINK("https://cao.dolgi.msk.ru/account/1050306547/", 1050306547)</f>
        <v>1050306547</v>
      </c>
      <c r="D839" s="4">
        <v>822691.37</v>
      </c>
      <c r="E839">
        <v>33.520000000000003</v>
      </c>
    </row>
    <row r="840" spans="1:5" x14ac:dyDescent="0.25">
      <c r="A840" t="s">
        <v>388</v>
      </c>
      <c r="B840" t="s">
        <v>106</v>
      </c>
      <c r="C840" s="2">
        <f>HYPERLINK("https://cao.dolgi.msk.ru/account/1050306555/", 1050306555)</f>
        <v>1050306555</v>
      </c>
      <c r="D840" s="4">
        <v>7957.24</v>
      </c>
      <c r="E840">
        <v>1.35</v>
      </c>
    </row>
    <row r="841" spans="1:5" x14ac:dyDescent="0.25">
      <c r="A841" t="s">
        <v>388</v>
      </c>
      <c r="B841" t="s">
        <v>107</v>
      </c>
      <c r="C841" s="2">
        <f>HYPERLINK("https://cao.dolgi.msk.ru/account/1050306563/", 1050306563)</f>
        <v>1050306563</v>
      </c>
      <c r="D841" s="4">
        <v>11888.02</v>
      </c>
      <c r="E841">
        <v>2.81</v>
      </c>
    </row>
    <row r="842" spans="1:5" x14ac:dyDescent="0.25">
      <c r="A842" t="s">
        <v>388</v>
      </c>
      <c r="B842" t="s">
        <v>108</v>
      </c>
      <c r="C842" s="2">
        <f>HYPERLINK("https://cao.dolgi.msk.ru/account/1050306571/", 1050306571)</f>
        <v>1050306571</v>
      </c>
      <c r="D842" s="4">
        <v>19714.63</v>
      </c>
      <c r="E842">
        <v>1.04</v>
      </c>
    </row>
    <row r="843" spans="1:5" x14ac:dyDescent="0.25">
      <c r="A843" t="s">
        <v>388</v>
      </c>
      <c r="B843" t="s">
        <v>109</v>
      </c>
      <c r="C843" s="2">
        <f>HYPERLINK("https://cao.dolgi.msk.ru/account/1050306598/", 1050306598)</f>
        <v>1050306598</v>
      </c>
      <c r="D843" s="4">
        <v>276755.71000000002</v>
      </c>
      <c r="E843">
        <v>23.29</v>
      </c>
    </row>
    <row r="844" spans="1:5" x14ac:dyDescent="0.25">
      <c r="A844" t="s">
        <v>389</v>
      </c>
      <c r="B844" t="s">
        <v>8</v>
      </c>
      <c r="C844" s="2">
        <f>HYPERLINK("https://cao.dolgi.msk.ru/account/1050306643/", 1050306643)</f>
        <v>1050306643</v>
      </c>
      <c r="D844" s="4">
        <v>89520.960000000006</v>
      </c>
      <c r="E844">
        <v>5.97</v>
      </c>
    </row>
    <row r="845" spans="1:5" x14ac:dyDescent="0.25">
      <c r="A845" t="s">
        <v>389</v>
      </c>
      <c r="B845" t="s">
        <v>16</v>
      </c>
      <c r="C845" s="2">
        <f>HYPERLINK("https://cao.dolgi.msk.ru/account/1050306731/", 1050306731)</f>
        <v>1050306731</v>
      </c>
      <c r="D845" s="4">
        <v>24524.13</v>
      </c>
      <c r="E845">
        <v>3.04</v>
      </c>
    </row>
    <row r="846" spans="1:5" x14ac:dyDescent="0.25">
      <c r="A846" t="s">
        <v>389</v>
      </c>
      <c r="B846" t="s">
        <v>22</v>
      </c>
      <c r="C846" s="2">
        <f>HYPERLINK("https://cao.dolgi.msk.ru/account/1056017885/", 1056017885)</f>
        <v>1056017885</v>
      </c>
      <c r="D846" s="4">
        <v>84934.64</v>
      </c>
      <c r="E846">
        <v>10.28</v>
      </c>
    </row>
    <row r="847" spans="1:5" x14ac:dyDescent="0.25">
      <c r="A847" t="s">
        <v>389</v>
      </c>
      <c r="B847" t="s">
        <v>56</v>
      </c>
      <c r="C847" s="2">
        <f>HYPERLINK("https://cao.dolgi.msk.ru/account/1050307259/", 1050307259)</f>
        <v>1050307259</v>
      </c>
      <c r="D847" s="4">
        <v>207777.2</v>
      </c>
      <c r="E847">
        <v>8.01</v>
      </c>
    </row>
    <row r="848" spans="1:5" x14ac:dyDescent="0.25">
      <c r="A848" t="s">
        <v>389</v>
      </c>
      <c r="B848" t="s">
        <v>59</v>
      </c>
      <c r="C848" s="2">
        <f>HYPERLINK("https://cao.dolgi.msk.ru/account/1050307283/", 1050307283)</f>
        <v>1050307283</v>
      </c>
      <c r="D848" s="4">
        <v>16678.080000000002</v>
      </c>
      <c r="E848">
        <v>1.81</v>
      </c>
    </row>
    <row r="849" spans="1:5" x14ac:dyDescent="0.25">
      <c r="A849" t="s">
        <v>389</v>
      </c>
      <c r="B849" t="s">
        <v>60</v>
      </c>
      <c r="C849" s="2">
        <f>HYPERLINK("https://cao.dolgi.msk.ru/account/1050307291/", 1050307291)</f>
        <v>1050307291</v>
      </c>
      <c r="D849" s="4">
        <v>11326.34</v>
      </c>
      <c r="E849">
        <v>1.7</v>
      </c>
    </row>
    <row r="850" spans="1:5" x14ac:dyDescent="0.25">
      <c r="A850" t="s">
        <v>389</v>
      </c>
      <c r="B850" t="s">
        <v>120</v>
      </c>
      <c r="C850" s="2">
        <f>HYPERLINK("https://cao.dolgi.msk.ru/account/1050307996/", 1050307996)</f>
        <v>1050307996</v>
      </c>
      <c r="D850" s="4">
        <v>26251.75</v>
      </c>
      <c r="E850">
        <v>1.98</v>
      </c>
    </row>
    <row r="851" spans="1:5" x14ac:dyDescent="0.25">
      <c r="A851" t="s">
        <v>389</v>
      </c>
      <c r="B851" t="s">
        <v>135</v>
      </c>
      <c r="C851" s="2">
        <f>HYPERLINK("https://cao.dolgi.msk.ru/account/1056009244/", 1056009244)</f>
        <v>1056009244</v>
      </c>
      <c r="D851" s="4">
        <v>261053.09</v>
      </c>
      <c r="E851">
        <v>22.17</v>
      </c>
    </row>
    <row r="852" spans="1:5" x14ac:dyDescent="0.25">
      <c r="A852" t="s">
        <v>390</v>
      </c>
      <c r="B852" t="s">
        <v>95</v>
      </c>
      <c r="C852" s="2">
        <f>HYPERLINK("https://cao.dolgi.msk.ru/account/1050308681/", 1050308681)</f>
        <v>1050308681</v>
      </c>
      <c r="D852" s="4">
        <v>10536.46</v>
      </c>
      <c r="E852">
        <v>1.35</v>
      </c>
    </row>
    <row r="853" spans="1:5" x14ac:dyDescent="0.25">
      <c r="A853" t="s">
        <v>390</v>
      </c>
      <c r="B853" t="s">
        <v>52</v>
      </c>
      <c r="C853" s="2">
        <f>HYPERLINK("https://cao.dolgi.msk.ru/account/1050308753/", 1050308753)</f>
        <v>1050308753</v>
      </c>
      <c r="D853" s="4">
        <v>105237.96</v>
      </c>
      <c r="E853">
        <v>5.79</v>
      </c>
    </row>
    <row r="854" spans="1:5" x14ac:dyDescent="0.25">
      <c r="A854" t="s">
        <v>390</v>
      </c>
      <c r="B854" t="s">
        <v>66</v>
      </c>
      <c r="C854" s="2">
        <f>HYPERLINK("https://cao.dolgi.msk.ru/account/1050308913/", 1050308913)</f>
        <v>1050308913</v>
      </c>
      <c r="D854" s="4">
        <v>165102.87</v>
      </c>
      <c r="E854">
        <v>12.43</v>
      </c>
    </row>
    <row r="855" spans="1:5" x14ac:dyDescent="0.25">
      <c r="A855" t="s">
        <v>390</v>
      </c>
      <c r="B855" t="s">
        <v>71</v>
      </c>
      <c r="C855" s="2">
        <f>HYPERLINK("https://cao.dolgi.msk.ru/account/1050308972/", 1050308972)</f>
        <v>1050308972</v>
      </c>
      <c r="D855" s="4">
        <v>26876.74</v>
      </c>
      <c r="E855">
        <v>2.72</v>
      </c>
    </row>
    <row r="856" spans="1:5" x14ac:dyDescent="0.25">
      <c r="A856" t="s">
        <v>390</v>
      </c>
      <c r="B856" t="s">
        <v>82</v>
      </c>
      <c r="C856" s="2">
        <f>HYPERLINK("https://cao.dolgi.msk.ru/account/1050309115/", 1050309115)</f>
        <v>1050309115</v>
      </c>
      <c r="D856" s="4">
        <v>15231.26</v>
      </c>
      <c r="E856">
        <v>1.1000000000000001</v>
      </c>
    </row>
    <row r="857" spans="1:5" x14ac:dyDescent="0.25">
      <c r="A857" t="s">
        <v>390</v>
      </c>
      <c r="B857" t="s">
        <v>91</v>
      </c>
      <c r="C857" s="2">
        <f>HYPERLINK("https://cao.dolgi.msk.ru/account/1050309238/", 1050309238)</f>
        <v>1050309238</v>
      </c>
      <c r="D857" s="4">
        <v>7084.71</v>
      </c>
      <c r="E857">
        <v>1.0900000000000001</v>
      </c>
    </row>
    <row r="858" spans="1:5" x14ac:dyDescent="0.25">
      <c r="A858" t="s">
        <v>390</v>
      </c>
      <c r="B858" t="s">
        <v>97</v>
      </c>
      <c r="C858" s="2">
        <f>HYPERLINK("https://cao.dolgi.msk.ru/account/1050309254/", 1050309254)</f>
        <v>1050309254</v>
      </c>
      <c r="D858" s="4">
        <v>18003.13</v>
      </c>
      <c r="E858">
        <v>2.0299999999999998</v>
      </c>
    </row>
    <row r="859" spans="1:5" x14ac:dyDescent="0.25">
      <c r="A859" t="s">
        <v>390</v>
      </c>
      <c r="B859" t="s">
        <v>107</v>
      </c>
      <c r="C859" s="2">
        <f>HYPERLINK("https://cao.dolgi.msk.ru/account/1050309377/", 1050309377)</f>
        <v>1050309377</v>
      </c>
      <c r="D859" s="4">
        <v>162019.47</v>
      </c>
      <c r="E859">
        <v>5.25</v>
      </c>
    </row>
    <row r="860" spans="1:5" x14ac:dyDescent="0.25">
      <c r="A860" t="s">
        <v>390</v>
      </c>
      <c r="B860" t="s">
        <v>391</v>
      </c>
      <c r="C860" s="2">
        <f>HYPERLINK("https://cao.dolgi.msk.ru/account/1059022567/", 1059022567)</f>
        <v>1059022567</v>
      </c>
      <c r="D860" s="4">
        <v>156879.24</v>
      </c>
      <c r="E860">
        <v>7.94</v>
      </c>
    </row>
    <row r="861" spans="1:5" x14ac:dyDescent="0.25">
      <c r="A861" t="s">
        <v>392</v>
      </c>
      <c r="B861" t="s">
        <v>7</v>
      </c>
      <c r="C861" s="2">
        <f>HYPERLINK("https://cao.dolgi.msk.ru/account/1050309617/", 1050309617)</f>
        <v>1050309617</v>
      </c>
      <c r="D861" s="4">
        <v>11130.51</v>
      </c>
      <c r="E861">
        <v>1.51</v>
      </c>
    </row>
    <row r="862" spans="1:5" x14ac:dyDescent="0.25">
      <c r="A862" t="s">
        <v>392</v>
      </c>
      <c r="B862" t="s">
        <v>11</v>
      </c>
      <c r="C862" s="2">
        <f>HYPERLINK("https://cao.dolgi.msk.ru/account/1050309641/", 1050309641)</f>
        <v>1050309641</v>
      </c>
      <c r="D862" s="4">
        <v>26990.9</v>
      </c>
      <c r="E862">
        <v>2.85</v>
      </c>
    </row>
    <row r="863" spans="1:5" x14ac:dyDescent="0.25">
      <c r="A863" t="s">
        <v>392</v>
      </c>
      <c r="B863" t="s">
        <v>15</v>
      </c>
      <c r="C863" s="2">
        <f>HYPERLINK("https://cao.dolgi.msk.ru/account/1050309692/", 1050309692)</f>
        <v>1050309692</v>
      </c>
      <c r="D863" s="4">
        <v>17848.310000000001</v>
      </c>
      <c r="E863">
        <v>2.0099999999999998</v>
      </c>
    </row>
    <row r="864" spans="1:5" x14ac:dyDescent="0.25">
      <c r="A864" t="s">
        <v>392</v>
      </c>
      <c r="B864" t="s">
        <v>16</v>
      </c>
      <c r="C864" s="2">
        <f>HYPERLINK("https://cao.dolgi.msk.ru/account/1050309713/", 1050309713)</f>
        <v>1050309713</v>
      </c>
      <c r="D864" s="4">
        <v>24411.24</v>
      </c>
      <c r="E864">
        <v>1.98</v>
      </c>
    </row>
    <row r="865" spans="1:5" x14ac:dyDescent="0.25">
      <c r="A865" t="s">
        <v>392</v>
      </c>
      <c r="B865" t="s">
        <v>26</v>
      </c>
      <c r="C865" s="2">
        <f>HYPERLINK("https://cao.dolgi.msk.ru/account/1051000718/", 1051000718)</f>
        <v>1051000718</v>
      </c>
      <c r="D865" s="4">
        <v>17158.34</v>
      </c>
      <c r="E865">
        <v>2.98</v>
      </c>
    </row>
    <row r="866" spans="1:5" x14ac:dyDescent="0.25">
      <c r="A866" t="s">
        <v>392</v>
      </c>
      <c r="B866" t="s">
        <v>41</v>
      </c>
      <c r="C866" s="2">
        <f>HYPERLINK("https://cao.dolgi.msk.ru/account/1051000662/", 1051000662)</f>
        <v>1051000662</v>
      </c>
      <c r="D866" s="4">
        <v>12309.84</v>
      </c>
      <c r="E866">
        <v>1.27</v>
      </c>
    </row>
    <row r="867" spans="1:5" x14ac:dyDescent="0.25">
      <c r="A867" t="s">
        <v>392</v>
      </c>
      <c r="B867" t="s">
        <v>44</v>
      </c>
      <c r="C867" s="2">
        <f>HYPERLINK("https://cao.dolgi.msk.ru/account/1050309991/", 1050309991)</f>
        <v>1050309991</v>
      </c>
      <c r="D867" s="4">
        <v>18258.37</v>
      </c>
      <c r="E867">
        <v>2.0499999999999998</v>
      </c>
    </row>
    <row r="868" spans="1:5" x14ac:dyDescent="0.25">
      <c r="A868" t="s">
        <v>392</v>
      </c>
      <c r="B868" t="s">
        <v>49</v>
      </c>
      <c r="C868" s="2">
        <f>HYPERLINK("https://cao.dolgi.msk.ru/account/1050310087/", 1050310087)</f>
        <v>1050310087</v>
      </c>
      <c r="D868" s="4">
        <v>51204.29</v>
      </c>
      <c r="E868">
        <v>4.88</v>
      </c>
    </row>
    <row r="869" spans="1:5" x14ac:dyDescent="0.25">
      <c r="A869" t="s">
        <v>392</v>
      </c>
      <c r="B869" t="s">
        <v>62</v>
      </c>
      <c r="C869" s="2">
        <f>HYPERLINK("https://cao.dolgi.msk.ru/account/1050310204/", 1050310204)</f>
        <v>1050310204</v>
      </c>
      <c r="D869" s="4">
        <v>10236.450000000001</v>
      </c>
      <c r="E869">
        <v>1.02</v>
      </c>
    </row>
    <row r="870" spans="1:5" x14ac:dyDescent="0.25">
      <c r="A870" t="s">
        <v>392</v>
      </c>
      <c r="B870" t="s">
        <v>78</v>
      </c>
      <c r="C870" s="2">
        <f>HYPERLINK("https://cao.dolgi.msk.ru/account/1058144335/", 1058144335)</f>
        <v>1058144335</v>
      </c>
      <c r="D870" s="4">
        <v>404162.64</v>
      </c>
      <c r="E870">
        <v>37.35</v>
      </c>
    </row>
    <row r="871" spans="1:5" x14ac:dyDescent="0.25">
      <c r="A871" t="s">
        <v>392</v>
      </c>
      <c r="B871" t="s">
        <v>79</v>
      </c>
      <c r="C871" s="2">
        <f>HYPERLINK("https://cao.dolgi.msk.ru/account/1058144343/", 1058144343)</f>
        <v>1058144343</v>
      </c>
      <c r="D871" s="4">
        <v>389817.42</v>
      </c>
      <c r="E871">
        <v>37.36</v>
      </c>
    </row>
    <row r="872" spans="1:5" x14ac:dyDescent="0.25">
      <c r="A872" t="s">
        <v>393</v>
      </c>
      <c r="B872" t="s">
        <v>93</v>
      </c>
      <c r="C872" s="2">
        <f>HYPERLINK("https://cao.dolgi.msk.ru/account/1050268253/", 1050268253)</f>
        <v>1050268253</v>
      </c>
      <c r="D872" s="4">
        <v>19185.37</v>
      </c>
      <c r="E872">
        <v>3.9</v>
      </c>
    </row>
    <row r="873" spans="1:5" x14ac:dyDescent="0.25">
      <c r="A873" t="s">
        <v>393</v>
      </c>
      <c r="B873" t="s">
        <v>23</v>
      </c>
      <c r="C873" s="2">
        <f>HYPERLINK("https://cao.dolgi.msk.ru/account/1050268376/", 1050268376)</f>
        <v>1050268376</v>
      </c>
      <c r="D873" s="4">
        <v>6753.91</v>
      </c>
      <c r="E873">
        <v>1.4</v>
      </c>
    </row>
    <row r="874" spans="1:5" x14ac:dyDescent="0.25">
      <c r="A874" t="s">
        <v>393</v>
      </c>
      <c r="B874" t="s">
        <v>62</v>
      </c>
      <c r="C874" s="2">
        <f>HYPERLINK("https://cao.dolgi.msk.ru/account/1050269272/", 1050269272)</f>
        <v>1050269272</v>
      </c>
      <c r="D874" s="4">
        <v>47482.47</v>
      </c>
      <c r="E874">
        <v>7.3</v>
      </c>
    </row>
    <row r="875" spans="1:5" x14ac:dyDescent="0.25">
      <c r="A875" t="s">
        <v>393</v>
      </c>
      <c r="B875" t="s">
        <v>66</v>
      </c>
      <c r="C875" s="2">
        <f>HYPERLINK("https://cao.dolgi.msk.ru/account/1050269336/", 1050269336)</f>
        <v>1050269336</v>
      </c>
      <c r="D875" s="4">
        <v>12616</v>
      </c>
      <c r="E875">
        <v>2</v>
      </c>
    </row>
    <row r="876" spans="1:5" x14ac:dyDescent="0.25">
      <c r="A876" t="s">
        <v>393</v>
      </c>
      <c r="B876" t="s">
        <v>83</v>
      </c>
      <c r="C876" s="2">
        <f>HYPERLINK("https://cao.dolgi.msk.ru/account/1050269539/", 1050269539)</f>
        <v>1050269539</v>
      </c>
      <c r="D876" s="4">
        <v>5504.67</v>
      </c>
      <c r="E876">
        <v>1.31</v>
      </c>
    </row>
    <row r="877" spans="1:5" x14ac:dyDescent="0.25">
      <c r="A877" t="s">
        <v>393</v>
      </c>
      <c r="B877" t="s">
        <v>99</v>
      </c>
      <c r="C877" s="2">
        <f>HYPERLINK("https://cao.dolgi.msk.ru/account/1050269678/", 1050269678)</f>
        <v>1050269678</v>
      </c>
      <c r="D877" s="4">
        <v>9433.94</v>
      </c>
      <c r="E877">
        <v>3.95</v>
      </c>
    </row>
    <row r="878" spans="1:5" x14ac:dyDescent="0.25">
      <c r="A878" t="s">
        <v>393</v>
      </c>
      <c r="B878" t="s">
        <v>108</v>
      </c>
      <c r="C878" s="2">
        <f>HYPERLINK("https://cao.dolgi.msk.ru/account/1050269774/", 1050269774)</f>
        <v>1050269774</v>
      </c>
      <c r="D878" s="4">
        <v>8006.06</v>
      </c>
      <c r="E878">
        <v>2.0299999999999998</v>
      </c>
    </row>
    <row r="879" spans="1:5" x14ac:dyDescent="0.25">
      <c r="A879" t="s">
        <v>393</v>
      </c>
      <c r="B879" t="s">
        <v>114</v>
      </c>
      <c r="C879" s="2">
        <f>HYPERLINK("https://cao.dolgi.msk.ru/account/1050269846/", 1050269846)</f>
        <v>1050269846</v>
      </c>
      <c r="D879" s="4">
        <v>156661.18</v>
      </c>
      <c r="E879">
        <v>32.5</v>
      </c>
    </row>
    <row r="880" spans="1:5" x14ac:dyDescent="0.25">
      <c r="A880" t="s">
        <v>394</v>
      </c>
      <c r="B880" t="s">
        <v>10</v>
      </c>
      <c r="C880" s="2">
        <f>HYPERLINK("https://cao.dolgi.msk.ru/account/1050332489/", 1050332489)</f>
        <v>1050332489</v>
      </c>
      <c r="D880" s="4">
        <v>11092.9</v>
      </c>
      <c r="E880">
        <v>1.99</v>
      </c>
    </row>
    <row r="881" spans="1:5" x14ac:dyDescent="0.25">
      <c r="A881" t="s">
        <v>394</v>
      </c>
      <c r="B881" t="s">
        <v>22</v>
      </c>
      <c r="C881" s="2">
        <f>HYPERLINK("https://cao.dolgi.msk.ru/account/1050332737/", 1050332737)</f>
        <v>1050332737</v>
      </c>
      <c r="D881" s="4">
        <v>14421.63</v>
      </c>
      <c r="E881">
        <v>2.5499999999999998</v>
      </c>
    </row>
    <row r="882" spans="1:5" x14ac:dyDescent="0.25">
      <c r="A882" t="s">
        <v>394</v>
      </c>
      <c r="B882" t="s">
        <v>39</v>
      </c>
      <c r="C882" s="2">
        <f>HYPERLINK("https://cao.dolgi.msk.ru/account/1050332905/", 1050332905)</f>
        <v>1050332905</v>
      </c>
      <c r="D882" s="4">
        <v>20187.47</v>
      </c>
      <c r="E882">
        <v>1.99</v>
      </c>
    </row>
    <row r="883" spans="1:5" x14ac:dyDescent="0.25">
      <c r="A883" t="s">
        <v>394</v>
      </c>
      <c r="B883" t="s">
        <v>40</v>
      </c>
      <c r="C883" s="2">
        <f>HYPERLINK("https://cao.dolgi.msk.ru/account/1050332913/", 1050332913)</f>
        <v>1050332913</v>
      </c>
      <c r="D883" s="4">
        <v>7943.39</v>
      </c>
      <c r="E883">
        <v>2.67</v>
      </c>
    </row>
    <row r="884" spans="1:5" x14ac:dyDescent="0.25">
      <c r="A884" t="s">
        <v>394</v>
      </c>
      <c r="B884" t="s">
        <v>95</v>
      </c>
      <c r="C884" s="2">
        <f>HYPERLINK("https://cao.dolgi.msk.ru/account/1058022573/", 1058022573)</f>
        <v>1058022573</v>
      </c>
      <c r="D884" s="4">
        <v>8423.44</v>
      </c>
      <c r="E884">
        <v>1.8</v>
      </c>
    </row>
    <row r="885" spans="1:5" x14ac:dyDescent="0.25">
      <c r="A885" t="s">
        <v>394</v>
      </c>
      <c r="B885" t="s">
        <v>59</v>
      </c>
      <c r="C885" s="2">
        <f>HYPERLINK("https://cao.dolgi.msk.ru/account/1058120894/", 1058120894)</f>
        <v>1058120894</v>
      </c>
      <c r="D885" s="4">
        <v>28817.47</v>
      </c>
      <c r="E885">
        <v>6.96</v>
      </c>
    </row>
    <row r="886" spans="1:5" x14ac:dyDescent="0.25">
      <c r="A886" t="s">
        <v>394</v>
      </c>
      <c r="B886" t="s">
        <v>61</v>
      </c>
      <c r="C886" s="2">
        <f>HYPERLINK("https://cao.dolgi.msk.ru/account/1050333182/", 1050333182)</f>
        <v>1050333182</v>
      </c>
      <c r="D886" s="4">
        <v>158800.1</v>
      </c>
      <c r="E886">
        <v>52.53</v>
      </c>
    </row>
    <row r="887" spans="1:5" x14ac:dyDescent="0.25">
      <c r="A887" t="s">
        <v>395</v>
      </c>
      <c r="B887" t="s">
        <v>6</v>
      </c>
      <c r="C887" s="2">
        <f>HYPERLINK("https://cao.dolgi.msk.ru/account/1051500034/", 1051500034)</f>
        <v>1051500034</v>
      </c>
      <c r="D887" s="4">
        <v>10382.700000000001</v>
      </c>
      <c r="E887">
        <v>1.2</v>
      </c>
    </row>
    <row r="888" spans="1:5" x14ac:dyDescent="0.25">
      <c r="A888" t="s">
        <v>395</v>
      </c>
      <c r="B888" t="s">
        <v>15</v>
      </c>
      <c r="C888" s="2">
        <f>HYPERLINK("https://cao.dolgi.msk.ru/account/1050346143/", 1050346143)</f>
        <v>1050346143</v>
      </c>
      <c r="D888" s="4">
        <v>13405.06</v>
      </c>
      <c r="E888">
        <v>1.19</v>
      </c>
    </row>
    <row r="889" spans="1:5" x14ac:dyDescent="0.25">
      <c r="A889" t="s">
        <v>396</v>
      </c>
      <c r="B889" t="s">
        <v>9</v>
      </c>
      <c r="C889" s="2">
        <f>HYPERLINK("https://cao.dolgi.msk.ru/account/1058050793/", 1058050793)</f>
        <v>1058050793</v>
      </c>
      <c r="D889" s="4">
        <v>13623.5</v>
      </c>
      <c r="E889">
        <v>2</v>
      </c>
    </row>
    <row r="890" spans="1:5" x14ac:dyDescent="0.25">
      <c r="A890" t="s">
        <v>396</v>
      </c>
      <c r="B890" t="s">
        <v>20</v>
      </c>
      <c r="C890" s="2">
        <f>HYPERLINK("https://cao.dolgi.msk.ru/account/1058051147/", 1058051147)</f>
        <v>1058051147</v>
      </c>
      <c r="D890" s="4">
        <v>13340.77</v>
      </c>
      <c r="E890">
        <v>2.08</v>
      </c>
    </row>
    <row r="891" spans="1:5" x14ac:dyDescent="0.25">
      <c r="A891" t="s">
        <v>396</v>
      </c>
      <c r="B891" t="s">
        <v>27</v>
      </c>
      <c r="C891" s="2">
        <f>HYPERLINK("https://cao.dolgi.msk.ru/account/1058051294/", 1058051294)</f>
        <v>1058051294</v>
      </c>
      <c r="D891" s="4">
        <v>249734.95</v>
      </c>
      <c r="E891">
        <v>30.13</v>
      </c>
    </row>
    <row r="892" spans="1:5" x14ac:dyDescent="0.25">
      <c r="A892" t="s">
        <v>397</v>
      </c>
      <c r="B892" t="s">
        <v>12</v>
      </c>
      <c r="C892" s="2">
        <f>HYPERLINK("https://cao.dolgi.msk.ru/account/1050370442/", 1050370442)</f>
        <v>1050370442</v>
      </c>
      <c r="D892" s="4">
        <v>14815.73</v>
      </c>
      <c r="E892">
        <v>2.16</v>
      </c>
    </row>
    <row r="893" spans="1:5" x14ac:dyDescent="0.25">
      <c r="A893" t="s">
        <v>397</v>
      </c>
      <c r="B893" t="s">
        <v>21</v>
      </c>
      <c r="C893" s="2">
        <f>HYPERLINK("https://cao.dolgi.msk.ru/account/1050370274/", 1050370274)</f>
        <v>1050370274</v>
      </c>
      <c r="D893" s="4">
        <v>229855.75</v>
      </c>
      <c r="E893">
        <v>37.130000000000003</v>
      </c>
    </row>
    <row r="894" spans="1:5" x14ac:dyDescent="0.25">
      <c r="A894" t="s">
        <v>397</v>
      </c>
      <c r="B894" t="s">
        <v>30</v>
      </c>
      <c r="C894" s="2">
        <f>HYPERLINK("https://cao.dolgi.msk.ru/account/1050370135/", 1050370135)</f>
        <v>1050370135</v>
      </c>
      <c r="D894" s="4">
        <v>5173.51</v>
      </c>
      <c r="E894">
        <v>1.02</v>
      </c>
    </row>
    <row r="895" spans="1:5" x14ac:dyDescent="0.25">
      <c r="A895" t="s">
        <v>397</v>
      </c>
      <c r="B895" t="s">
        <v>40</v>
      </c>
      <c r="C895" s="2">
        <f>HYPERLINK("https://cao.dolgi.msk.ru/account/1058091958/", 1058091958)</f>
        <v>1058091958</v>
      </c>
      <c r="D895" s="4">
        <v>13597.2</v>
      </c>
      <c r="E895">
        <v>4</v>
      </c>
    </row>
    <row r="896" spans="1:5" x14ac:dyDescent="0.25">
      <c r="A896" t="s">
        <v>397</v>
      </c>
      <c r="B896" t="s">
        <v>46</v>
      </c>
      <c r="C896" s="2">
        <f>HYPERLINK("https://cao.dolgi.msk.ru/account/1050369898/", 1050369898)</f>
        <v>1050369898</v>
      </c>
      <c r="D896" s="4">
        <v>7026.6</v>
      </c>
      <c r="E896">
        <v>1.02</v>
      </c>
    </row>
    <row r="897" spans="1:5" x14ac:dyDescent="0.25">
      <c r="A897" t="s">
        <v>397</v>
      </c>
      <c r="B897" t="s">
        <v>49</v>
      </c>
      <c r="C897" s="2">
        <f>HYPERLINK("https://cao.dolgi.msk.ru/account/1050369791/", 1050369791)</f>
        <v>1050369791</v>
      </c>
      <c r="D897" s="4">
        <v>20269.97</v>
      </c>
      <c r="E897">
        <v>1.96</v>
      </c>
    </row>
    <row r="898" spans="1:5" x14ac:dyDescent="0.25">
      <c r="A898" t="s">
        <v>398</v>
      </c>
      <c r="B898" t="s">
        <v>10</v>
      </c>
      <c r="C898" s="2">
        <f>HYPERLINK("https://cao.dolgi.msk.ru/account/1059012123/", 1059012123)</f>
        <v>1059012123</v>
      </c>
      <c r="D898" s="4">
        <v>6304.84</v>
      </c>
      <c r="E898">
        <v>1.76</v>
      </c>
    </row>
    <row r="899" spans="1:5" x14ac:dyDescent="0.25">
      <c r="A899" t="s">
        <v>398</v>
      </c>
      <c r="B899" t="s">
        <v>16</v>
      </c>
      <c r="C899" s="2">
        <f>HYPERLINK("https://cao.dolgi.msk.ru/account/1059011446/", 1059011446)</f>
        <v>1059011446</v>
      </c>
      <c r="D899" s="4">
        <v>17181.830000000002</v>
      </c>
      <c r="E899">
        <v>1.98</v>
      </c>
    </row>
    <row r="900" spans="1:5" x14ac:dyDescent="0.25">
      <c r="A900" t="s">
        <v>398</v>
      </c>
      <c r="B900" t="s">
        <v>28</v>
      </c>
      <c r="C900" s="2">
        <f>HYPERLINK("https://cao.dolgi.msk.ru/account/1059011016/", 1059011016)</f>
        <v>1059011016</v>
      </c>
      <c r="D900" s="4">
        <v>10156.9</v>
      </c>
      <c r="E900">
        <v>2.02</v>
      </c>
    </row>
    <row r="901" spans="1:5" x14ac:dyDescent="0.25">
      <c r="A901" t="s">
        <v>398</v>
      </c>
      <c r="B901" t="s">
        <v>32</v>
      </c>
      <c r="C901" s="2">
        <f>HYPERLINK("https://cao.dolgi.msk.ru/account/1059016757/", 1059016757)</f>
        <v>1059016757</v>
      </c>
      <c r="D901" s="4">
        <v>29076.17</v>
      </c>
      <c r="E901">
        <v>7.9</v>
      </c>
    </row>
    <row r="902" spans="1:5" x14ac:dyDescent="0.25">
      <c r="A902" t="s">
        <v>398</v>
      </c>
      <c r="B902" t="s">
        <v>63</v>
      </c>
      <c r="C902" s="2">
        <f>HYPERLINK("https://cao.dolgi.msk.ru/account/1059011163/", 1059011163)</f>
        <v>1059011163</v>
      </c>
      <c r="D902" s="4">
        <v>10507.51</v>
      </c>
      <c r="E902">
        <v>1.99</v>
      </c>
    </row>
    <row r="903" spans="1:5" x14ac:dyDescent="0.25">
      <c r="A903" t="s">
        <v>398</v>
      </c>
      <c r="B903" t="s">
        <v>78</v>
      </c>
      <c r="C903" s="2">
        <f>HYPERLINK("https://cao.dolgi.msk.ru/account/1059026103/", 1059026103)</f>
        <v>1059026103</v>
      </c>
      <c r="D903" s="4">
        <v>10550.81</v>
      </c>
      <c r="E903">
        <v>2</v>
      </c>
    </row>
    <row r="904" spans="1:5" x14ac:dyDescent="0.25">
      <c r="A904" t="s">
        <v>398</v>
      </c>
      <c r="B904" t="s">
        <v>100</v>
      </c>
      <c r="C904" s="2">
        <f>HYPERLINK("https://cao.dolgi.msk.ru/account/1059012107/", 1059012107)</f>
        <v>1059012107</v>
      </c>
      <c r="D904" s="4">
        <v>14420.12</v>
      </c>
      <c r="E904">
        <v>3.96</v>
      </c>
    </row>
    <row r="905" spans="1:5" x14ac:dyDescent="0.25">
      <c r="A905" t="s">
        <v>398</v>
      </c>
      <c r="B905" t="s">
        <v>101</v>
      </c>
      <c r="C905" s="2">
        <f>HYPERLINK("https://cao.dolgi.msk.ru/account/1059020166/", 1059020166)</f>
        <v>1059020166</v>
      </c>
      <c r="D905" s="4">
        <v>6497.46</v>
      </c>
      <c r="E905">
        <v>1.04</v>
      </c>
    </row>
    <row r="906" spans="1:5" x14ac:dyDescent="0.25">
      <c r="A906" t="s">
        <v>398</v>
      </c>
      <c r="B906" t="s">
        <v>105</v>
      </c>
      <c r="C906" s="2">
        <f>HYPERLINK("https://cao.dolgi.msk.ru/account/1059012115/", 1059012115)</f>
        <v>1059012115</v>
      </c>
      <c r="D906" s="4">
        <v>16469.59</v>
      </c>
      <c r="E906">
        <v>4.5199999999999996</v>
      </c>
    </row>
    <row r="907" spans="1:5" x14ac:dyDescent="0.25">
      <c r="A907" t="s">
        <v>398</v>
      </c>
      <c r="B907" t="s">
        <v>115</v>
      </c>
      <c r="C907" s="2">
        <f>HYPERLINK("https://cao.dolgi.msk.ru/account/1059010582/", 1059010582)</f>
        <v>1059010582</v>
      </c>
      <c r="D907" s="4">
        <v>53965.23</v>
      </c>
      <c r="E907">
        <v>12.99</v>
      </c>
    </row>
    <row r="908" spans="1:5" x14ac:dyDescent="0.25">
      <c r="A908" t="s">
        <v>398</v>
      </c>
      <c r="B908" t="s">
        <v>123</v>
      </c>
      <c r="C908" s="2">
        <f>HYPERLINK("https://cao.dolgi.msk.ru/account/1059010291/", 1059010291)</f>
        <v>1059010291</v>
      </c>
      <c r="D908" s="4">
        <v>7424.28</v>
      </c>
      <c r="E908">
        <v>1.72</v>
      </c>
    </row>
    <row r="909" spans="1:5" x14ac:dyDescent="0.25">
      <c r="A909" t="s">
        <v>399</v>
      </c>
      <c r="B909" t="s">
        <v>12</v>
      </c>
      <c r="C909" s="2">
        <f>HYPERLINK("https://cao.dolgi.msk.ru/account/1050327022/", 1050327022)</f>
        <v>1050327022</v>
      </c>
      <c r="D909" s="4">
        <v>16236.94</v>
      </c>
      <c r="E909">
        <v>1.98</v>
      </c>
    </row>
    <row r="910" spans="1:5" x14ac:dyDescent="0.25">
      <c r="A910" t="s">
        <v>399</v>
      </c>
      <c r="B910" t="s">
        <v>14</v>
      </c>
      <c r="C910" s="2">
        <f>HYPERLINK("https://cao.dolgi.msk.ru/account/1050327057/", 1050327057)</f>
        <v>1050327057</v>
      </c>
      <c r="D910" s="4">
        <v>65635.83</v>
      </c>
      <c r="E910">
        <v>4</v>
      </c>
    </row>
    <row r="911" spans="1:5" x14ac:dyDescent="0.25">
      <c r="A911" t="s">
        <v>399</v>
      </c>
      <c r="B911" t="s">
        <v>31</v>
      </c>
      <c r="C911" s="2">
        <f>HYPERLINK("https://cao.dolgi.msk.ru/account/1058135367/", 1058135367)</f>
        <v>1058135367</v>
      </c>
      <c r="D911" s="4">
        <v>9669.65</v>
      </c>
      <c r="E911">
        <v>1.1000000000000001</v>
      </c>
    </row>
    <row r="912" spans="1:5" x14ac:dyDescent="0.25">
      <c r="A912" t="s">
        <v>399</v>
      </c>
      <c r="B912" t="s">
        <v>36</v>
      </c>
      <c r="C912" s="2">
        <f>HYPERLINK("https://cao.dolgi.msk.ru/account/1050327321/", 1050327321)</f>
        <v>1050327321</v>
      </c>
      <c r="D912" s="4">
        <v>15936.41</v>
      </c>
      <c r="E912">
        <v>1.97</v>
      </c>
    </row>
    <row r="913" spans="1:5" x14ac:dyDescent="0.25">
      <c r="A913" t="s">
        <v>399</v>
      </c>
      <c r="B913" t="s">
        <v>37</v>
      </c>
      <c r="C913" s="2">
        <f>HYPERLINK("https://cao.dolgi.msk.ru/account/1050327356/", 1050327356)</f>
        <v>1050327356</v>
      </c>
      <c r="D913" s="4">
        <v>11345.28</v>
      </c>
      <c r="E913">
        <v>1.1000000000000001</v>
      </c>
    </row>
    <row r="914" spans="1:5" x14ac:dyDescent="0.25">
      <c r="A914" t="s">
        <v>399</v>
      </c>
      <c r="B914" t="s">
        <v>42</v>
      </c>
      <c r="C914" s="2">
        <f>HYPERLINK("https://cao.dolgi.msk.ru/account/1050327428/", 1050327428)</f>
        <v>1050327428</v>
      </c>
      <c r="D914" s="4">
        <v>388235.54</v>
      </c>
      <c r="E914">
        <v>35.659999999999997</v>
      </c>
    </row>
    <row r="915" spans="1:5" x14ac:dyDescent="0.25">
      <c r="A915" t="s">
        <v>399</v>
      </c>
      <c r="B915" t="s">
        <v>43</v>
      </c>
      <c r="C915" s="2">
        <f>HYPERLINK("https://cao.dolgi.msk.ru/account/1050327436/", 1050327436)</f>
        <v>1050327436</v>
      </c>
      <c r="D915" s="4">
        <v>22388</v>
      </c>
      <c r="E915">
        <v>2.99</v>
      </c>
    </row>
    <row r="916" spans="1:5" x14ac:dyDescent="0.25">
      <c r="A916" t="s">
        <v>399</v>
      </c>
      <c r="B916" t="s">
        <v>57</v>
      </c>
      <c r="C916" s="2">
        <f>HYPERLINK("https://cao.dolgi.msk.ru/account/1050327698/", 1050327698)</f>
        <v>1050327698</v>
      </c>
      <c r="D916" s="4">
        <v>34690.629999999997</v>
      </c>
      <c r="E916">
        <v>4.1100000000000003</v>
      </c>
    </row>
    <row r="917" spans="1:5" x14ac:dyDescent="0.25">
      <c r="A917" t="s">
        <v>399</v>
      </c>
      <c r="B917" t="s">
        <v>70</v>
      </c>
      <c r="C917" s="2">
        <f>HYPERLINK("https://cao.dolgi.msk.ru/account/1050327858/", 1050327858)</f>
        <v>1050327858</v>
      </c>
      <c r="D917" s="4">
        <v>20903.72</v>
      </c>
      <c r="E917">
        <v>2</v>
      </c>
    </row>
    <row r="918" spans="1:5" x14ac:dyDescent="0.25">
      <c r="A918" t="s">
        <v>399</v>
      </c>
      <c r="B918" t="s">
        <v>74</v>
      </c>
      <c r="C918" s="2">
        <f>HYPERLINK("https://cao.dolgi.msk.ru/account/1050327903/", 1050327903)</f>
        <v>1050327903</v>
      </c>
      <c r="D918" s="4">
        <v>11968.99</v>
      </c>
      <c r="E918">
        <v>2.0099999999999998</v>
      </c>
    </row>
    <row r="919" spans="1:5" x14ac:dyDescent="0.25">
      <c r="A919" t="s">
        <v>399</v>
      </c>
      <c r="B919" t="s">
        <v>97</v>
      </c>
      <c r="C919" s="2">
        <f>HYPERLINK("https://cao.dolgi.msk.ru/account/1050328172/", 1050328172)</f>
        <v>1050328172</v>
      </c>
      <c r="D919" s="4">
        <v>12521.91</v>
      </c>
      <c r="E919">
        <v>1.21</v>
      </c>
    </row>
    <row r="920" spans="1:5" x14ac:dyDescent="0.25">
      <c r="A920" t="s">
        <v>399</v>
      </c>
      <c r="B920" t="s">
        <v>118</v>
      </c>
      <c r="C920" s="2">
        <f>HYPERLINK("https://cao.dolgi.msk.ru/account/1050328455/", 1050328455)</f>
        <v>1050328455</v>
      </c>
      <c r="D920" s="4">
        <v>15250.58</v>
      </c>
      <c r="E920">
        <v>1.82</v>
      </c>
    </row>
    <row r="921" spans="1:5" x14ac:dyDescent="0.25">
      <c r="A921" t="s">
        <v>399</v>
      </c>
      <c r="B921" t="s">
        <v>130</v>
      </c>
      <c r="C921" s="2">
        <f>HYPERLINK("https://cao.dolgi.msk.ru/account/1050329036/", 1050329036)</f>
        <v>1050329036</v>
      </c>
      <c r="D921" s="4">
        <v>251709.66</v>
      </c>
      <c r="E921">
        <v>44.21</v>
      </c>
    </row>
    <row r="922" spans="1:5" x14ac:dyDescent="0.25">
      <c r="A922" t="s">
        <v>399</v>
      </c>
      <c r="B922" t="s">
        <v>143</v>
      </c>
      <c r="C922" s="2">
        <f>HYPERLINK("https://cao.dolgi.msk.ru/account/1050329407/", 1050329407)</f>
        <v>1050329407</v>
      </c>
      <c r="D922" s="4">
        <v>6945.8</v>
      </c>
      <c r="E922">
        <v>1.95</v>
      </c>
    </row>
    <row r="923" spans="1:5" x14ac:dyDescent="0.25">
      <c r="A923" t="s">
        <v>399</v>
      </c>
      <c r="B923" t="s">
        <v>146</v>
      </c>
      <c r="C923" s="2">
        <f>HYPERLINK("https://cao.dolgi.msk.ru/account/1050329503/", 1050329503)</f>
        <v>1050329503</v>
      </c>
      <c r="D923" s="4">
        <v>9027.93</v>
      </c>
      <c r="E923">
        <v>1.36</v>
      </c>
    </row>
    <row r="924" spans="1:5" x14ac:dyDescent="0.25">
      <c r="A924" t="s">
        <v>400</v>
      </c>
      <c r="B924" t="s">
        <v>27</v>
      </c>
      <c r="C924" s="2">
        <f>HYPERLINK("https://cao.dolgi.msk.ru/account/1058091536/", 1058091536)</f>
        <v>1058091536</v>
      </c>
      <c r="D924" s="4">
        <v>16757.060000000001</v>
      </c>
      <c r="E924">
        <v>2.96</v>
      </c>
    </row>
    <row r="925" spans="1:5" x14ac:dyDescent="0.25">
      <c r="A925" t="s">
        <v>400</v>
      </c>
      <c r="B925" t="s">
        <v>94</v>
      </c>
      <c r="C925" s="2">
        <f>HYPERLINK("https://cao.dolgi.msk.ru/account/1050360754/", 1050360754)</f>
        <v>1050360754</v>
      </c>
      <c r="D925" s="4">
        <v>11750.36</v>
      </c>
      <c r="E925">
        <v>2.39</v>
      </c>
    </row>
    <row r="926" spans="1:5" x14ac:dyDescent="0.25">
      <c r="A926" t="s">
        <v>400</v>
      </c>
      <c r="B926" t="s">
        <v>58</v>
      </c>
      <c r="C926" s="2">
        <f>HYPERLINK("https://cao.dolgi.msk.ru/account/1050361028/", 1050361028)</f>
        <v>1050361028</v>
      </c>
      <c r="D926" s="4">
        <v>7217.95</v>
      </c>
      <c r="E926">
        <v>1.02</v>
      </c>
    </row>
    <row r="927" spans="1:5" x14ac:dyDescent="0.25">
      <c r="A927" t="s">
        <v>400</v>
      </c>
      <c r="B927" t="s">
        <v>59</v>
      </c>
      <c r="C927" s="2">
        <f>HYPERLINK("https://cao.dolgi.msk.ru/account/1050361044/", 1050361044)</f>
        <v>1050361044</v>
      </c>
      <c r="D927" s="4">
        <v>13654.04</v>
      </c>
      <c r="E927">
        <v>2.92</v>
      </c>
    </row>
    <row r="928" spans="1:5" x14ac:dyDescent="0.25">
      <c r="A928" t="s">
        <v>401</v>
      </c>
      <c r="B928" t="s">
        <v>6</v>
      </c>
      <c r="C928" s="2">
        <f>HYPERLINK("https://cao.dolgi.msk.ru/account/1050362143/", 1050362143)</f>
        <v>1050362143</v>
      </c>
      <c r="D928" s="4">
        <v>17569.52</v>
      </c>
      <c r="E928">
        <v>3.37</v>
      </c>
    </row>
    <row r="929" spans="1:5" x14ac:dyDescent="0.25">
      <c r="A929" t="s">
        <v>401</v>
      </c>
      <c r="B929" t="s">
        <v>13</v>
      </c>
      <c r="C929" s="2">
        <f>HYPERLINK("https://cao.dolgi.msk.ru/account/1050362338/", 1050362338)</f>
        <v>1050362338</v>
      </c>
      <c r="D929" s="4">
        <v>323205.64</v>
      </c>
      <c r="E929">
        <v>36.15</v>
      </c>
    </row>
    <row r="930" spans="1:5" x14ac:dyDescent="0.25">
      <c r="A930" t="s">
        <v>401</v>
      </c>
      <c r="B930" t="s">
        <v>16</v>
      </c>
      <c r="C930" s="2">
        <f>HYPERLINK("https://cao.dolgi.msk.ru/account/1050362426/", 1050362426)</f>
        <v>1050362426</v>
      </c>
      <c r="D930" s="4">
        <v>14338.14</v>
      </c>
      <c r="E930">
        <v>2</v>
      </c>
    </row>
    <row r="931" spans="1:5" x14ac:dyDescent="0.25">
      <c r="A931" t="s">
        <v>401</v>
      </c>
      <c r="B931" t="s">
        <v>28</v>
      </c>
      <c r="C931" s="2">
        <f>HYPERLINK("https://cao.dolgi.msk.ru/account/1050362733/", 1050362733)</f>
        <v>1050362733</v>
      </c>
      <c r="D931" s="4">
        <v>20470.57</v>
      </c>
      <c r="E931">
        <v>2.14</v>
      </c>
    </row>
    <row r="932" spans="1:5" x14ac:dyDescent="0.25">
      <c r="A932" t="s">
        <v>401</v>
      </c>
      <c r="B932" t="s">
        <v>30</v>
      </c>
      <c r="C932" s="2">
        <f>HYPERLINK("https://cao.dolgi.msk.ru/account/1050362813/", 1050362813)</f>
        <v>1050362813</v>
      </c>
      <c r="D932" s="4">
        <v>17740.13</v>
      </c>
      <c r="E932">
        <v>3.1</v>
      </c>
    </row>
    <row r="933" spans="1:5" x14ac:dyDescent="0.25">
      <c r="A933" t="s">
        <v>401</v>
      </c>
      <c r="B933" t="s">
        <v>45</v>
      </c>
      <c r="C933" s="2">
        <f>HYPERLINK("https://cao.dolgi.msk.ru/account/1050363162/", 1050363162)</f>
        <v>1050363162</v>
      </c>
      <c r="D933" s="4">
        <v>12186.76</v>
      </c>
      <c r="E933">
        <v>1.96</v>
      </c>
    </row>
    <row r="934" spans="1:5" x14ac:dyDescent="0.25">
      <c r="A934" t="s">
        <v>401</v>
      </c>
      <c r="B934" t="s">
        <v>94</v>
      </c>
      <c r="C934" s="2">
        <f>HYPERLINK("https://cao.dolgi.msk.ru/account/1050363242/", 1050363242)</f>
        <v>1050363242</v>
      </c>
      <c r="D934" s="4">
        <v>22471.599999999999</v>
      </c>
      <c r="E934">
        <v>3.27</v>
      </c>
    </row>
    <row r="935" spans="1:5" x14ac:dyDescent="0.25">
      <c r="A935" t="s">
        <v>401</v>
      </c>
      <c r="B935" t="s">
        <v>60</v>
      </c>
      <c r="C935" s="2">
        <f>HYPERLINK("https://cao.dolgi.msk.ru/account/1050363621/", 1050363621)</f>
        <v>1050363621</v>
      </c>
      <c r="D935" s="4">
        <v>7466.99</v>
      </c>
      <c r="E935">
        <v>1.1399999999999999</v>
      </c>
    </row>
    <row r="936" spans="1:5" x14ac:dyDescent="0.25">
      <c r="A936" t="s">
        <v>401</v>
      </c>
      <c r="B936" t="s">
        <v>91</v>
      </c>
      <c r="C936" s="2">
        <f>HYPERLINK("https://cao.dolgi.msk.ru/account/1050364448/", 1050364448)</f>
        <v>1050364448</v>
      </c>
      <c r="D936" s="4">
        <v>6089.61</v>
      </c>
      <c r="E936">
        <v>1.0900000000000001</v>
      </c>
    </row>
    <row r="937" spans="1:5" x14ac:dyDescent="0.25">
      <c r="A937" t="s">
        <v>401</v>
      </c>
      <c r="B937" t="s">
        <v>98</v>
      </c>
      <c r="C937" s="2">
        <f>HYPERLINK("https://cao.dolgi.msk.ru/account/1050364544/", 1050364544)</f>
        <v>1050364544</v>
      </c>
      <c r="D937" s="4">
        <v>18640.38</v>
      </c>
      <c r="E937">
        <v>2</v>
      </c>
    </row>
    <row r="938" spans="1:5" x14ac:dyDescent="0.25">
      <c r="A938" t="s">
        <v>401</v>
      </c>
      <c r="B938" t="s">
        <v>103</v>
      </c>
      <c r="C938" s="2">
        <f>HYPERLINK("https://cao.dolgi.msk.ru/account/1058021722/", 1058021722)</f>
        <v>1058021722</v>
      </c>
      <c r="D938" s="4">
        <v>14509.28</v>
      </c>
      <c r="E938">
        <v>2</v>
      </c>
    </row>
    <row r="939" spans="1:5" x14ac:dyDescent="0.25">
      <c r="A939" t="s">
        <v>402</v>
      </c>
      <c r="B939" t="s">
        <v>29</v>
      </c>
      <c r="C939" s="2">
        <f>HYPERLINK("https://cao.dolgi.msk.ru/account/1050358697/", 1050358697)</f>
        <v>1050358697</v>
      </c>
      <c r="D939" s="4">
        <v>6503.59</v>
      </c>
      <c r="E939">
        <v>1.31</v>
      </c>
    </row>
    <row r="940" spans="1:5" x14ac:dyDescent="0.25">
      <c r="A940" t="s">
        <v>402</v>
      </c>
      <c r="B940" t="s">
        <v>31</v>
      </c>
      <c r="C940" s="2">
        <f>HYPERLINK("https://cao.dolgi.msk.ru/account/1050358742/", 1050358742)</f>
        <v>1050358742</v>
      </c>
      <c r="D940" s="4">
        <v>20339.04</v>
      </c>
      <c r="E940">
        <v>2.2999999999999998</v>
      </c>
    </row>
    <row r="941" spans="1:5" x14ac:dyDescent="0.25">
      <c r="A941" t="s">
        <v>402</v>
      </c>
      <c r="B941" t="s">
        <v>36</v>
      </c>
      <c r="C941" s="2">
        <f>HYPERLINK("https://cao.dolgi.msk.ru/account/1050358857/", 1050358857)</f>
        <v>1050358857</v>
      </c>
      <c r="D941" s="4">
        <v>44766.18</v>
      </c>
      <c r="E941">
        <v>6.03</v>
      </c>
    </row>
    <row r="942" spans="1:5" x14ac:dyDescent="0.25">
      <c r="A942" t="s">
        <v>402</v>
      </c>
      <c r="B942" t="s">
        <v>40</v>
      </c>
      <c r="C942" s="2">
        <f>HYPERLINK("https://cao.dolgi.msk.ru/account/1058154306/", 1058154306)</f>
        <v>1058154306</v>
      </c>
      <c r="D942" s="4">
        <v>163606.51</v>
      </c>
      <c r="E942">
        <v>14.42</v>
      </c>
    </row>
    <row r="943" spans="1:5" x14ac:dyDescent="0.25">
      <c r="A943" t="s">
        <v>402</v>
      </c>
      <c r="B943" t="s">
        <v>46</v>
      </c>
      <c r="C943" s="2">
        <f>HYPERLINK("https://cao.dolgi.msk.ru/account/1050359104/", 1050359104)</f>
        <v>1050359104</v>
      </c>
      <c r="D943" s="4">
        <v>5073.79</v>
      </c>
      <c r="E943">
        <v>1.02</v>
      </c>
    </row>
    <row r="944" spans="1:5" x14ac:dyDescent="0.25">
      <c r="A944" t="s">
        <v>402</v>
      </c>
      <c r="B944" t="s">
        <v>95</v>
      </c>
      <c r="C944" s="2">
        <f>HYPERLINK("https://cao.dolgi.msk.ru/account/1050359198/", 1050359198)</f>
        <v>1050359198</v>
      </c>
      <c r="D944" s="4">
        <v>8101.2</v>
      </c>
      <c r="E944">
        <v>1.01</v>
      </c>
    </row>
    <row r="945" spans="1:5" x14ac:dyDescent="0.25">
      <c r="A945" t="s">
        <v>402</v>
      </c>
      <c r="B945" t="s">
        <v>61</v>
      </c>
      <c r="C945" s="2">
        <f>HYPERLINK("https://cao.dolgi.msk.ru/account/1050359649/", 1050359649)</f>
        <v>1050359649</v>
      </c>
      <c r="D945" s="4">
        <v>15127.35</v>
      </c>
      <c r="E945">
        <v>3.03</v>
      </c>
    </row>
    <row r="946" spans="1:5" x14ac:dyDescent="0.25">
      <c r="A946" t="s">
        <v>402</v>
      </c>
      <c r="B946" t="s">
        <v>70</v>
      </c>
      <c r="C946" s="2">
        <f>HYPERLINK("https://cao.dolgi.msk.ru/account/1050359825/", 1050359825)</f>
        <v>1050359825</v>
      </c>
      <c r="D946" s="4">
        <v>44616.639999999999</v>
      </c>
      <c r="E946">
        <v>3.98</v>
      </c>
    </row>
    <row r="947" spans="1:5" x14ac:dyDescent="0.25">
      <c r="A947" t="s">
        <v>402</v>
      </c>
      <c r="B947" t="s">
        <v>108</v>
      </c>
      <c r="C947" s="2">
        <f>HYPERLINK("https://cao.dolgi.msk.ru/account/1050360842/", 1050360842)</f>
        <v>1050360842</v>
      </c>
      <c r="D947" s="4">
        <v>298664.05</v>
      </c>
      <c r="E947">
        <v>41.75</v>
      </c>
    </row>
    <row r="948" spans="1:5" x14ac:dyDescent="0.25">
      <c r="A948" t="s">
        <v>402</v>
      </c>
      <c r="B948" t="s">
        <v>142</v>
      </c>
      <c r="C948" s="2">
        <f>HYPERLINK("https://cao.dolgi.msk.ru/account/1050361511/", 1050361511)</f>
        <v>1050361511</v>
      </c>
      <c r="D948" s="4">
        <v>7872.83</v>
      </c>
      <c r="E948">
        <v>1.1399999999999999</v>
      </c>
    </row>
    <row r="949" spans="1:5" x14ac:dyDescent="0.25">
      <c r="A949" t="s">
        <v>403</v>
      </c>
      <c r="B949" t="s">
        <v>20</v>
      </c>
      <c r="C949" s="2">
        <f>HYPERLINK("https://cao.dolgi.msk.ru/account/1056044592/", 1056044592)</f>
        <v>1056044592</v>
      </c>
      <c r="D949" s="4">
        <v>41407.24</v>
      </c>
      <c r="E949">
        <v>12.58</v>
      </c>
    </row>
    <row r="950" spans="1:5" x14ac:dyDescent="0.25">
      <c r="A950" t="s">
        <v>403</v>
      </c>
      <c r="B950" t="s">
        <v>26</v>
      </c>
      <c r="C950" s="2">
        <f>HYPERLINK("https://cao.dolgi.msk.ru/account/1050365256/", 1050365256)</f>
        <v>1050365256</v>
      </c>
      <c r="D950" s="4">
        <v>23107.98</v>
      </c>
      <c r="E950">
        <v>1.59</v>
      </c>
    </row>
    <row r="951" spans="1:5" x14ac:dyDescent="0.25">
      <c r="A951" t="s">
        <v>403</v>
      </c>
      <c r="B951" t="s">
        <v>58</v>
      </c>
      <c r="C951" s="2">
        <f>HYPERLINK("https://cao.dolgi.msk.ru/account/1050365686/", 1050365686)</f>
        <v>1050365686</v>
      </c>
      <c r="D951" s="4">
        <v>10468.61</v>
      </c>
      <c r="E951">
        <v>1.54</v>
      </c>
    </row>
    <row r="952" spans="1:5" x14ac:dyDescent="0.25">
      <c r="A952" t="s">
        <v>403</v>
      </c>
      <c r="B952" t="s">
        <v>60</v>
      </c>
      <c r="C952" s="2">
        <f>HYPERLINK("https://cao.dolgi.msk.ru/account/1051602436/", 1051602436)</f>
        <v>1051602436</v>
      </c>
      <c r="D952" s="4">
        <v>10290.49</v>
      </c>
      <c r="E952">
        <v>2.0299999999999998</v>
      </c>
    </row>
    <row r="953" spans="1:5" x14ac:dyDescent="0.25">
      <c r="A953" t="s">
        <v>403</v>
      </c>
      <c r="B953" t="s">
        <v>64</v>
      </c>
      <c r="C953" s="2">
        <f>HYPERLINK("https://cao.dolgi.msk.ru/account/1056022887/", 1056022887)</f>
        <v>1056022887</v>
      </c>
      <c r="D953" s="4">
        <v>10983.8</v>
      </c>
      <c r="E953">
        <v>2</v>
      </c>
    </row>
    <row r="954" spans="1:5" x14ac:dyDescent="0.25">
      <c r="A954" t="s">
        <v>403</v>
      </c>
      <c r="B954" t="s">
        <v>65</v>
      </c>
      <c r="C954" s="2">
        <f>HYPERLINK("https://cao.dolgi.msk.ru/account/1056026159/", 1056026159)</f>
        <v>1056026159</v>
      </c>
      <c r="D954" s="4">
        <v>11348.67</v>
      </c>
      <c r="E954">
        <v>1.98</v>
      </c>
    </row>
    <row r="955" spans="1:5" x14ac:dyDescent="0.25">
      <c r="A955" t="s">
        <v>403</v>
      </c>
      <c r="B955" t="s">
        <v>67</v>
      </c>
      <c r="C955" s="2">
        <f>HYPERLINK("https://cao.dolgi.msk.ru/account/1056026204/", 1056026204)</f>
        <v>1056026204</v>
      </c>
      <c r="D955" s="4">
        <v>14379.6</v>
      </c>
      <c r="E955">
        <v>2</v>
      </c>
    </row>
    <row r="956" spans="1:5" x14ac:dyDescent="0.25">
      <c r="A956" t="s">
        <v>403</v>
      </c>
      <c r="B956" t="s">
        <v>71</v>
      </c>
      <c r="C956" s="2">
        <f>HYPERLINK("https://cao.dolgi.msk.ru/account/1056039232/", 1056039232)</f>
        <v>1056039232</v>
      </c>
      <c r="D956" s="4">
        <v>13733</v>
      </c>
      <c r="E956">
        <v>2.0099999999999998</v>
      </c>
    </row>
    <row r="957" spans="1:5" x14ac:dyDescent="0.25">
      <c r="A957" t="s">
        <v>404</v>
      </c>
      <c r="B957" t="s">
        <v>8</v>
      </c>
      <c r="C957" s="2">
        <f>HYPERLINK("https://cao.dolgi.msk.ru/account/1058095457/", 1058095457)</f>
        <v>1058095457</v>
      </c>
      <c r="D957" s="4">
        <v>6433.23</v>
      </c>
      <c r="E957">
        <v>1.1399999999999999</v>
      </c>
    </row>
    <row r="958" spans="1:5" x14ac:dyDescent="0.25">
      <c r="A958" t="s">
        <v>404</v>
      </c>
      <c r="B958" t="s">
        <v>31</v>
      </c>
      <c r="C958" s="2">
        <f>HYPERLINK("https://cao.dolgi.msk.ru/account/1050367075/", 1050367075)</f>
        <v>1050367075</v>
      </c>
      <c r="D958" s="4">
        <v>18820.75</v>
      </c>
      <c r="E958">
        <v>3.42</v>
      </c>
    </row>
    <row r="959" spans="1:5" x14ac:dyDescent="0.25">
      <c r="A959" t="s">
        <v>404</v>
      </c>
      <c r="B959" t="s">
        <v>41</v>
      </c>
      <c r="C959" s="2">
        <f>HYPERLINK("https://cao.dolgi.msk.ru/account/1050367331/", 1050367331)</f>
        <v>1050367331</v>
      </c>
      <c r="D959" s="4">
        <v>14052.56</v>
      </c>
      <c r="E959">
        <v>1.29</v>
      </c>
    </row>
    <row r="960" spans="1:5" x14ac:dyDescent="0.25">
      <c r="A960" t="s">
        <v>404</v>
      </c>
      <c r="B960" t="s">
        <v>46</v>
      </c>
      <c r="C960" s="2">
        <f>HYPERLINK("https://cao.dolgi.msk.ru/account/1050367489/", 1050367489)</f>
        <v>1050367489</v>
      </c>
      <c r="D960" s="4">
        <v>243614.67</v>
      </c>
      <c r="E960">
        <v>33.520000000000003</v>
      </c>
    </row>
    <row r="961" spans="1:5" x14ac:dyDescent="0.25">
      <c r="A961" t="s">
        <v>404</v>
      </c>
      <c r="B961" t="s">
        <v>95</v>
      </c>
      <c r="C961" s="2">
        <f>HYPERLINK("https://cao.dolgi.msk.ru/account/1059018138/", 1059018138)</f>
        <v>1059018138</v>
      </c>
      <c r="D961" s="4">
        <v>15299.57</v>
      </c>
      <c r="E961">
        <v>2.09</v>
      </c>
    </row>
    <row r="962" spans="1:5" x14ac:dyDescent="0.25">
      <c r="A962" t="s">
        <v>404</v>
      </c>
      <c r="B962" t="s">
        <v>49</v>
      </c>
      <c r="C962" s="2">
        <f>HYPERLINK("https://cao.dolgi.msk.ru/account/1050367606/", 1050367606)</f>
        <v>1050367606</v>
      </c>
      <c r="D962" s="4">
        <v>14784.72</v>
      </c>
      <c r="E962">
        <v>1.93</v>
      </c>
    </row>
    <row r="963" spans="1:5" x14ac:dyDescent="0.25">
      <c r="A963" t="s">
        <v>405</v>
      </c>
      <c r="B963" t="s">
        <v>6</v>
      </c>
      <c r="C963" s="2">
        <f>HYPERLINK("https://cao.dolgi.msk.ru/account/1050367702/", 1050367702)</f>
        <v>1050367702</v>
      </c>
      <c r="D963" s="4">
        <v>236840.84</v>
      </c>
      <c r="E963">
        <v>27.24</v>
      </c>
    </row>
    <row r="964" spans="1:5" x14ac:dyDescent="0.25">
      <c r="A964" t="s">
        <v>405</v>
      </c>
      <c r="B964" t="s">
        <v>27</v>
      </c>
      <c r="C964" s="2">
        <f>HYPERLINK("https://cao.dolgi.msk.ru/account/1050368887/", 1050368887)</f>
        <v>1050368887</v>
      </c>
      <c r="D964" s="4">
        <v>14146.3</v>
      </c>
      <c r="E964">
        <v>1.99</v>
      </c>
    </row>
    <row r="965" spans="1:5" x14ac:dyDescent="0.25">
      <c r="A965" t="s">
        <v>405</v>
      </c>
      <c r="B965" t="s">
        <v>30</v>
      </c>
      <c r="C965" s="2">
        <f>HYPERLINK("https://cao.dolgi.msk.ru/account/1050368246/", 1050368246)</f>
        <v>1050368246</v>
      </c>
      <c r="D965" s="4">
        <v>13358.98</v>
      </c>
      <c r="E965">
        <v>2</v>
      </c>
    </row>
    <row r="966" spans="1:5" x14ac:dyDescent="0.25">
      <c r="A966" t="s">
        <v>405</v>
      </c>
      <c r="B966" t="s">
        <v>47</v>
      </c>
      <c r="C966" s="2">
        <f>HYPERLINK("https://cao.dolgi.msk.ru/account/1050368668/", 1050368668)</f>
        <v>1050368668</v>
      </c>
      <c r="D966" s="4">
        <v>10876.44</v>
      </c>
      <c r="E966">
        <v>1.86</v>
      </c>
    </row>
    <row r="967" spans="1:5" x14ac:dyDescent="0.25">
      <c r="A967" t="s">
        <v>406</v>
      </c>
      <c r="B967" t="s">
        <v>93</v>
      </c>
      <c r="C967" s="2">
        <f>HYPERLINK("https://cao.dolgi.msk.ru/account/1050572749/", 1050572749)</f>
        <v>1050572749</v>
      </c>
      <c r="D967" s="4">
        <v>12789.93</v>
      </c>
      <c r="E967">
        <v>1.67</v>
      </c>
    </row>
    <row r="968" spans="1:5" x14ac:dyDescent="0.25">
      <c r="A968" t="s">
        <v>406</v>
      </c>
      <c r="B968" t="s">
        <v>27</v>
      </c>
      <c r="C968" s="2">
        <f>HYPERLINK("https://cao.dolgi.msk.ru/account/1050573055/", 1050573055)</f>
        <v>1050573055</v>
      </c>
      <c r="D968" s="4">
        <v>9526.34</v>
      </c>
      <c r="E968">
        <v>2</v>
      </c>
    </row>
    <row r="969" spans="1:5" x14ac:dyDescent="0.25">
      <c r="A969" t="s">
        <v>406</v>
      </c>
      <c r="B969" t="s">
        <v>36</v>
      </c>
      <c r="C969" s="2">
        <f>HYPERLINK("https://cao.dolgi.msk.ru/account/1050573338/", 1050573338)</f>
        <v>1050573338</v>
      </c>
      <c r="D969" s="4">
        <v>169422.2</v>
      </c>
      <c r="E969">
        <v>17.8</v>
      </c>
    </row>
    <row r="970" spans="1:5" x14ac:dyDescent="0.25">
      <c r="A970" t="s">
        <v>406</v>
      </c>
      <c r="B970" t="s">
        <v>41</v>
      </c>
      <c r="C970" s="2">
        <f>HYPERLINK("https://cao.dolgi.msk.ru/account/1050573557/", 1050573557)</f>
        <v>1050573557</v>
      </c>
      <c r="D970" s="4">
        <v>66309.009999999995</v>
      </c>
      <c r="E970">
        <v>9.39</v>
      </c>
    </row>
    <row r="971" spans="1:5" x14ac:dyDescent="0.25">
      <c r="A971" t="s">
        <v>407</v>
      </c>
      <c r="B971" t="s">
        <v>17</v>
      </c>
      <c r="C971" s="2">
        <f>HYPERLINK("https://cao.dolgi.msk.ru/account/1050564116/", 1050564116)</f>
        <v>1050564116</v>
      </c>
      <c r="D971" s="4">
        <v>14946.24</v>
      </c>
      <c r="E971">
        <v>1.01</v>
      </c>
    </row>
    <row r="972" spans="1:5" x14ac:dyDescent="0.25">
      <c r="A972" t="s">
        <v>408</v>
      </c>
      <c r="B972" t="s">
        <v>9</v>
      </c>
      <c r="C972" s="2">
        <f>HYPERLINK("https://cao.dolgi.msk.ru/account/1050564917/", 1050564917)</f>
        <v>1050564917</v>
      </c>
      <c r="D972" s="4">
        <v>10733.32</v>
      </c>
      <c r="E972">
        <v>1.01</v>
      </c>
    </row>
    <row r="973" spans="1:5" x14ac:dyDescent="0.25">
      <c r="A973" t="s">
        <v>408</v>
      </c>
      <c r="B973" t="s">
        <v>15</v>
      </c>
      <c r="C973" s="2">
        <f>HYPERLINK("https://cao.dolgi.msk.ru/account/1050565223/", 1050565223)</f>
        <v>1050565223</v>
      </c>
      <c r="D973" s="4">
        <v>40346.81</v>
      </c>
      <c r="E973">
        <v>4.3499999999999996</v>
      </c>
    </row>
    <row r="974" spans="1:5" x14ac:dyDescent="0.25">
      <c r="A974" t="s">
        <v>409</v>
      </c>
      <c r="B974" t="s">
        <v>11</v>
      </c>
      <c r="C974" s="2">
        <f>HYPERLINK("https://cao.dolgi.msk.ru/account/1050566584/", 1050566584)</f>
        <v>1050566584</v>
      </c>
      <c r="D974" s="4">
        <v>56736.15</v>
      </c>
      <c r="E974">
        <v>5.0999999999999996</v>
      </c>
    </row>
    <row r="975" spans="1:5" x14ac:dyDescent="0.25">
      <c r="A975" t="s">
        <v>410</v>
      </c>
      <c r="B975" t="s">
        <v>16</v>
      </c>
      <c r="C975" s="2">
        <f>HYPERLINK("https://cao.dolgi.msk.ru/account/1050568176/", 1050568176)</f>
        <v>1050568176</v>
      </c>
      <c r="D975" s="4">
        <v>9148.2999999999993</v>
      </c>
      <c r="E975">
        <v>1.57</v>
      </c>
    </row>
    <row r="976" spans="1:5" x14ac:dyDescent="0.25">
      <c r="A976" t="s">
        <v>410</v>
      </c>
      <c r="B976" t="s">
        <v>19</v>
      </c>
      <c r="C976" s="2">
        <f>HYPERLINK("https://cao.dolgi.msk.ru/account/1050568715/", 1050568715)</f>
        <v>1050568715</v>
      </c>
      <c r="D976" s="4">
        <v>37959.160000000003</v>
      </c>
      <c r="E976">
        <v>1.86</v>
      </c>
    </row>
    <row r="977" spans="1:5" x14ac:dyDescent="0.25">
      <c r="A977" t="s">
        <v>411</v>
      </c>
      <c r="B977" t="s">
        <v>93</v>
      </c>
      <c r="C977" s="2">
        <f>HYPERLINK("https://cao.dolgi.msk.ru/account/1050569208/", 1050569208)</f>
        <v>1050569208</v>
      </c>
      <c r="D977" s="4">
        <v>33492.32</v>
      </c>
      <c r="E977">
        <v>1.72</v>
      </c>
    </row>
    <row r="978" spans="1:5" x14ac:dyDescent="0.25">
      <c r="A978" t="s">
        <v>412</v>
      </c>
      <c r="B978" t="s">
        <v>6</v>
      </c>
      <c r="C978" s="2">
        <f>HYPERLINK("https://cao.dolgi.msk.ru/account/1050565311/", 1050565311)</f>
        <v>1050565311</v>
      </c>
      <c r="D978" s="4">
        <v>17243.810000000001</v>
      </c>
      <c r="E978">
        <v>2.9</v>
      </c>
    </row>
    <row r="979" spans="1:5" x14ac:dyDescent="0.25">
      <c r="A979" t="s">
        <v>412</v>
      </c>
      <c r="B979" t="s">
        <v>9</v>
      </c>
      <c r="C979" s="2">
        <f>HYPERLINK("https://cao.dolgi.msk.ru/account/1050565354/", 1050565354)</f>
        <v>1050565354</v>
      </c>
      <c r="D979" s="4">
        <v>36983.410000000003</v>
      </c>
      <c r="E979">
        <v>2.95</v>
      </c>
    </row>
    <row r="980" spans="1:5" x14ac:dyDescent="0.25">
      <c r="A980" t="s">
        <v>412</v>
      </c>
      <c r="B980" t="s">
        <v>15</v>
      </c>
      <c r="C980" s="2">
        <f>HYPERLINK("https://cao.dolgi.msk.ru/account/1050565469/", 1050565469)</f>
        <v>1050565469</v>
      </c>
      <c r="D980" s="4">
        <v>14524.91</v>
      </c>
      <c r="E980">
        <v>2.86</v>
      </c>
    </row>
    <row r="981" spans="1:5" x14ac:dyDescent="0.25">
      <c r="A981" t="s">
        <v>412</v>
      </c>
      <c r="B981" t="s">
        <v>24</v>
      </c>
      <c r="C981" s="2">
        <f>HYPERLINK("https://cao.dolgi.msk.ru/account/1050565645/", 1050565645)</f>
        <v>1050565645</v>
      </c>
      <c r="D981" s="4">
        <v>13602.79</v>
      </c>
      <c r="E981">
        <v>2.0699999999999998</v>
      </c>
    </row>
    <row r="982" spans="1:5" x14ac:dyDescent="0.25">
      <c r="A982" t="s">
        <v>413</v>
      </c>
      <c r="B982" t="s">
        <v>12</v>
      </c>
      <c r="C982" s="2">
        <f>HYPERLINK("https://cao.dolgi.msk.ru/account/1050566074/", 1050566074)</f>
        <v>1050566074</v>
      </c>
      <c r="D982" s="4">
        <v>20376.29</v>
      </c>
      <c r="E982">
        <v>2.3199999999999998</v>
      </c>
    </row>
    <row r="983" spans="1:5" x14ac:dyDescent="0.25">
      <c r="A983" t="s">
        <v>413</v>
      </c>
      <c r="B983" t="s">
        <v>17</v>
      </c>
      <c r="C983" s="2">
        <f>HYPERLINK("https://cao.dolgi.msk.ru/account/1050566162/", 1050566162)</f>
        <v>1050566162</v>
      </c>
      <c r="D983" s="4">
        <v>8184.06</v>
      </c>
      <c r="E983">
        <v>1.01</v>
      </c>
    </row>
    <row r="984" spans="1:5" x14ac:dyDescent="0.25">
      <c r="A984" t="s">
        <v>413</v>
      </c>
      <c r="B984" t="s">
        <v>19</v>
      </c>
      <c r="C984" s="2">
        <f>HYPERLINK("https://cao.dolgi.msk.ru/account/1050566189/", 1050566189)</f>
        <v>1050566189</v>
      </c>
      <c r="D984" s="4">
        <v>43260.97</v>
      </c>
      <c r="E984">
        <v>4.9000000000000004</v>
      </c>
    </row>
    <row r="985" spans="1:5" x14ac:dyDescent="0.25">
      <c r="A985" t="s">
        <v>413</v>
      </c>
      <c r="B985" t="s">
        <v>20</v>
      </c>
      <c r="C985" s="2">
        <f>HYPERLINK("https://cao.dolgi.msk.ru/account/1050566218/", 1050566218)</f>
        <v>1050566218</v>
      </c>
      <c r="D985" s="4">
        <v>18937.349999999999</v>
      </c>
      <c r="E985">
        <v>2.21</v>
      </c>
    </row>
    <row r="986" spans="1:5" x14ac:dyDescent="0.25">
      <c r="A986" t="s">
        <v>413</v>
      </c>
      <c r="B986" t="s">
        <v>22</v>
      </c>
      <c r="C986" s="2">
        <f>HYPERLINK("https://cao.dolgi.msk.ru/account/1050566453/", 1050566453)</f>
        <v>1050566453</v>
      </c>
      <c r="D986" s="4">
        <v>29791.98</v>
      </c>
      <c r="E986">
        <v>2.96</v>
      </c>
    </row>
    <row r="987" spans="1:5" x14ac:dyDescent="0.25">
      <c r="A987" t="s">
        <v>414</v>
      </c>
      <c r="B987" t="s">
        <v>14</v>
      </c>
      <c r="C987" s="2">
        <f>HYPERLINK("https://cao.dolgi.msk.ru/account/1050533993/", 1050533993)</f>
        <v>1050533993</v>
      </c>
      <c r="D987" s="4">
        <v>34987.760000000002</v>
      </c>
      <c r="E987">
        <v>3.04</v>
      </c>
    </row>
    <row r="988" spans="1:5" x14ac:dyDescent="0.25">
      <c r="A988" t="s">
        <v>414</v>
      </c>
      <c r="B988" t="s">
        <v>16</v>
      </c>
      <c r="C988" s="2">
        <f>HYPERLINK("https://cao.dolgi.msk.ru/account/1058146664/", 1058146664)</f>
        <v>1058146664</v>
      </c>
      <c r="D988" s="4">
        <v>9353.75</v>
      </c>
      <c r="E988">
        <v>1.03</v>
      </c>
    </row>
    <row r="989" spans="1:5" x14ac:dyDescent="0.25">
      <c r="A989" t="s">
        <v>415</v>
      </c>
      <c r="B989" t="s">
        <v>17</v>
      </c>
      <c r="C989" s="2">
        <f>HYPERLINK("https://cao.dolgi.msk.ru/account/1058167932/", 1058167932)</f>
        <v>1058167932</v>
      </c>
      <c r="D989" s="4">
        <v>51451.27</v>
      </c>
      <c r="E989">
        <v>2.97</v>
      </c>
    </row>
    <row r="990" spans="1:5" x14ac:dyDescent="0.25">
      <c r="A990" t="s">
        <v>415</v>
      </c>
      <c r="B990" t="s">
        <v>22</v>
      </c>
      <c r="C990" s="2">
        <f>HYPERLINK("https://cao.dolgi.msk.ru/account/1059015922/", 1059015922)</f>
        <v>1059015922</v>
      </c>
      <c r="D990" s="4">
        <v>30618.02</v>
      </c>
      <c r="E990">
        <v>2</v>
      </c>
    </row>
    <row r="991" spans="1:5" x14ac:dyDescent="0.25">
      <c r="A991" t="s">
        <v>415</v>
      </c>
      <c r="B991" t="s">
        <v>23</v>
      </c>
      <c r="C991" s="2">
        <f>HYPERLINK("https://cao.dolgi.msk.ru/account/1056047013/", 1056047013)</f>
        <v>1056047013</v>
      </c>
      <c r="D991" s="4">
        <v>9627.5</v>
      </c>
      <c r="E991">
        <v>1.06</v>
      </c>
    </row>
    <row r="992" spans="1:5" x14ac:dyDescent="0.25">
      <c r="A992" t="s">
        <v>415</v>
      </c>
      <c r="B992" t="s">
        <v>24</v>
      </c>
      <c r="C992" s="2">
        <f>HYPERLINK("https://cao.dolgi.msk.ru/account/1058129258/", 1058129258)</f>
        <v>1058129258</v>
      </c>
      <c r="D992" s="4">
        <v>73998.960000000006</v>
      </c>
      <c r="E992">
        <v>4</v>
      </c>
    </row>
    <row r="993" spans="1:5" x14ac:dyDescent="0.25">
      <c r="A993" t="s">
        <v>416</v>
      </c>
      <c r="B993" t="s">
        <v>8</v>
      </c>
      <c r="C993" s="2">
        <f>HYPERLINK("https://cao.dolgi.msk.ru/account/1050561273/", 1050561273)</f>
        <v>1050561273</v>
      </c>
      <c r="D993" s="4">
        <v>7151.39</v>
      </c>
      <c r="E993">
        <v>1.85</v>
      </c>
    </row>
    <row r="994" spans="1:5" x14ac:dyDescent="0.25">
      <c r="A994" t="s">
        <v>416</v>
      </c>
      <c r="B994" t="s">
        <v>94</v>
      </c>
      <c r="C994" s="2">
        <f>HYPERLINK("https://cao.dolgi.msk.ru/account/1050561783/", 1050561783)</f>
        <v>1050561783</v>
      </c>
      <c r="D994" s="4">
        <v>17968.87</v>
      </c>
      <c r="E994">
        <v>1.83</v>
      </c>
    </row>
    <row r="995" spans="1:5" x14ac:dyDescent="0.25">
      <c r="A995" t="s">
        <v>416</v>
      </c>
      <c r="B995" t="s">
        <v>95</v>
      </c>
      <c r="C995" s="2">
        <f>HYPERLINK("https://cao.dolgi.msk.ru/account/1050561839/", 1050561839)</f>
        <v>1050561839</v>
      </c>
      <c r="D995" s="4">
        <v>11348.4</v>
      </c>
      <c r="E995">
        <v>1.99</v>
      </c>
    </row>
    <row r="996" spans="1:5" x14ac:dyDescent="0.25">
      <c r="A996" t="s">
        <v>416</v>
      </c>
      <c r="B996" t="s">
        <v>49</v>
      </c>
      <c r="C996" s="2">
        <f>HYPERLINK("https://cao.dolgi.msk.ru/account/1050561863/", 1050561863)</f>
        <v>1050561863</v>
      </c>
      <c r="D996" s="4">
        <v>13883.88</v>
      </c>
      <c r="E996">
        <v>1.98</v>
      </c>
    </row>
    <row r="997" spans="1:5" x14ac:dyDescent="0.25">
      <c r="A997" t="s">
        <v>417</v>
      </c>
      <c r="B997" t="s">
        <v>33</v>
      </c>
      <c r="C997" s="2">
        <f>HYPERLINK("https://cao.dolgi.msk.ru/account/1050540747/", 1050540747)</f>
        <v>1050540747</v>
      </c>
      <c r="D997" s="4">
        <v>16276.22</v>
      </c>
      <c r="E997">
        <v>1.95</v>
      </c>
    </row>
    <row r="998" spans="1:5" x14ac:dyDescent="0.25">
      <c r="A998" t="s">
        <v>418</v>
      </c>
      <c r="B998" t="s">
        <v>13</v>
      </c>
      <c r="C998" s="2">
        <f>HYPERLINK("https://cao.dolgi.msk.ru/account/1050584846/", 1050584846)</f>
        <v>1050584846</v>
      </c>
      <c r="D998" s="4">
        <v>34073.19</v>
      </c>
      <c r="E998">
        <v>2.2000000000000002</v>
      </c>
    </row>
    <row r="999" spans="1:5" x14ac:dyDescent="0.25">
      <c r="A999" t="s">
        <v>418</v>
      </c>
      <c r="B999" t="s">
        <v>14</v>
      </c>
      <c r="C999" s="2">
        <f>HYPERLINK("https://cao.dolgi.msk.ru/account/1050584862/", 1050584862)</f>
        <v>1050584862</v>
      </c>
      <c r="D999" s="4">
        <v>13360.6</v>
      </c>
      <c r="E999">
        <v>1.92</v>
      </c>
    </row>
    <row r="1000" spans="1:5" x14ac:dyDescent="0.25">
      <c r="A1000" t="s">
        <v>419</v>
      </c>
      <c r="B1000" t="s">
        <v>16</v>
      </c>
      <c r="C1000" s="2">
        <f>HYPERLINK("https://cao.dolgi.msk.ru/account/1050580212/", 1050580212)</f>
        <v>1050580212</v>
      </c>
      <c r="D1000" s="4">
        <v>8792.43</v>
      </c>
      <c r="E1000">
        <v>1.08</v>
      </c>
    </row>
    <row r="1001" spans="1:5" x14ac:dyDescent="0.25">
      <c r="A1001" t="s">
        <v>420</v>
      </c>
      <c r="B1001" t="s">
        <v>13</v>
      </c>
      <c r="C1001" s="2">
        <f>HYPERLINK("https://cao.dolgi.msk.ru/account/1050581864/", 1050581864)</f>
        <v>1050581864</v>
      </c>
      <c r="D1001" s="4">
        <v>66001.78</v>
      </c>
      <c r="E1001">
        <v>2.86</v>
      </c>
    </row>
    <row r="1002" spans="1:5" x14ac:dyDescent="0.25">
      <c r="A1002" t="s">
        <v>422</v>
      </c>
      <c r="B1002" t="s">
        <v>176</v>
      </c>
      <c r="C1002" s="2">
        <f>HYPERLINK("https://cao.dolgi.msk.ru/account/1050409343/", 1050409343)</f>
        <v>1050409343</v>
      </c>
      <c r="D1002" s="4">
        <v>52321.79</v>
      </c>
      <c r="E1002">
        <v>6.96</v>
      </c>
    </row>
    <row r="1003" spans="1:5" x14ac:dyDescent="0.25">
      <c r="A1003" t="s">
        <v>422</v>
      </c>
      <c r="B1003" t="s">
        <v>182</v>
      </c>
      <c r="C1003" s="2">
        <f>HYPERLINK("https://cao.dolgi.msk.ru/account/1050409546/", 1050409546)</f>
        <v>1050409546</v>
      </c>
      <c r="D1003" s="4">
        <v>6530.93</v>
      </c>
      <c r="E1003">
        <v>2.8</v>
      </c>
    </row>
    <row r="1004" spans="1:5" x14ac:dyDescent="0.25">
      <c r="A1004" t="s">
        <v>422</v>
      </c>
      <c r="B1004" t="s">
        <v>183</v>
      </c>
      <c r="C1004" s="2">
        <f>HYPERLINK("https://cao.dolgi.msk.ru/account/1050409562/", 1050409562)</f>
        <v>1050409562</v>
      </c>
      <c r="D1004" s="4">
        <v>7137.07</v>
      </c>
      <c r="E1004">
        <v>1.65</v>
      </c>
    </row>
    <row r="1005" spans="1:5" x14ac:dyDescent="0.25">
      <c r="A1005" t="s">
        <v>422</v>
      </c>
      <c r="B1005" t="s">
        <v>185</v>
      </c>
      <c r="C1005" s="2">
        <f>HYPERLINK("https://cao.dolgi.msk.ru/account/1050409626/", 1050409626)</f>
        <v>1050409626</v>
      </c>
      <c r="D1005" s="4">
        <v>6014.55</v>
      </c>
      <c r="E1005">
        <v>1.22</v>
      </c>
    </row>
    <row r="1006" spans="1:5" x14ac:dyDescent="0.25">
      <c r="A1006" t="s">
        <v>422</v>
      </c>
      <c r="B1006" t="s">
        <v>190</v>
      </c>
      <c r="C1006" s="2">
        <f>HYPERLINK("https://cao.dolgi.msk.ru/account/1050409765/", 1050409765)</f>
        <v>1050409765</v>
      </c>
      <c r="D1006" s="4">
        <v>13283.32</v>
      </c>
      <c r="E1006">
        <v>1.96</v>
      </c>
    </row>
    <row r="1007" spans="1:5" x14ac:dyDescent="0.25">
      <c r="A1007" t="s">
        <v>422</v>
      </c>
      <c r="B1007" t="s">
        <v>194</v>
      </c>
      <c r="C1007" s="2">
        <f>HYPERLINK("https://cao.dolgi.msk.ru/account/1050409861/", 1050409861)</f>
        <v>1050409861</v>
      </c>
      <c r="D1007" s="4">
        <v>64938.7</v>
      </c>
      <c r="E1007">
        <v>4.83</v>
      </c>
    </row>
    <row r="1008" spans="1:5" x14ac:dyDescent="0.25">
      <c r="A1008" t="s">
        <v>422</v>
      </c>
      <c r="B1008" t="s">
        <v>206</v>
      </c>
      <c r="C1008" s="2">
        <f>HYPERLINK("https://cao.dolgi.msk.ru/account/1050410379/", 1050410379)</f>
        <v>1050410379</v>
      </c>
      <c r="D1008" s="4">
        <v>22753.72</v>
      </c>
      <c r="E1008">
        <v>8.59</v>
      </c>
    </row>
    <row r="1009" spans="1:5" x14ac:dyDescent="0.25">
      <c r="A1009" t="s">
        <v>423</v>
      </c>
      <c r="B1009" t="s">
        <v>7</v>
      </c>
      <c r="C1009" s="2">
        <f>HYPERLINK("https://cao.dolgi.msk.ru/account/1050392326/", 1050392326)</f>
        <v>1050392326</v>
      </c>
      <c r="D1009" s="4">
        <v>17514.11</v>
      </c>
      <c r="E1009">
        <v>3.94</v>
      </c>
    </row>
    <row r="1010" spans="1:5" x14ac:dyDescent="0.25">
      <c r="A1010" t="s">
        <v>423</v>
      </c>
      <c r="B1010" t="s">
        <v>16</v>
      </c>
      <c r="C1010" s="2">
        <f>HYPERLINK("https://cao.dolgi.msk.ru/account/1050392422/", 1050392422)</f>
        <v>1050392422</v>
      </c>
      <c r="D1010" s="4">
        <v>32714.61</v>
      </c>
      <c r="E1010">
        <v>8.09</v>
      </c>
    </row>
    <row r="1011" spans="1:5" x14ac:dyDescent="0.25">
      <c r="A1011" t="s">
        <v>423</v>
      </c>
      <c r="B1011" t="s">
        <v>20</v>
      </c>
      <c r="C1011" s="2">
        <f>HYPERLINK("https://cao.dolgi.msk.ru/account/1050392502/", 1050392502)</f>
        <v>1050392502</v>
      </c>
      <c r="D1011" s="4">
        <v>9313.85</v>
      </c>
      <c r="E1011">
        <v>1.82</v>
      </c>
    </row>
    <row r="1012" spans="1:5" x14ac:dyDescent="0.25">
      <c r="A1012" t="s">
        <v>423</v>
      </c>
      <c r="B1012" t="s">
        <v>26</v>
      </c>
      <c r="C1012" s="2">
        <f>HYPERLINK("https://cao.dolgi.msk.ru/account/1050392596/", 1050392596)</f>
        <v>1050392596</v>
      </c>
      <c r="D1012" s="4">
        <v>9552.77</v>
      </c>
      <c r="E1012">
        <v>1.76</v>
      </c>
    </row>
    <row r="1013" spans="1:5" x14ac:dyDescent="0.25">
      <c r="A1013" t="s">
        <v>423</v>
      </c>
      <c r="B1013" t="s">
        <v>55</v>
      </c>
      <c r="C1013" s="2">
        <f>HYPERLINK("https://cao.dolgi.msk.ru/account/1050393054/", 1050393054)</f>
        <v>1050393054</v>
      </c>
      <c r="D1013" s="4">
        <v>21524.1</v>
      </c>
      <c r="E1013">
        <v>6.65</v>
      </c>
    </row>
    <row r="1014" spans="1:5" x14ac:dyDescent="0.25">
      <c r="A1014" t="s">
        <v>423</v>
      </c>
      <c r="B1014" t="s">
        <v>61</v>
      </c>
      <c r="C1014" s="2">
        <f>HYPERLINK("https://cao.dolgi.msk.ru/account/1050393169/", 1050393169)</f>
        <v>1050393169</v>
      </c>
      <c r="D1014" s="4">
        <v>6471.75</v>
      </c>
      <c r="E1014">
        <v>1.52</v>
      </c>
    </row>
    <row r="1015" spans="1:5" x14ac:dyDescent="0.25">
      <c r="A1015" t="s">
        <v>424</v>
      </c>
      <c r="B1015" t="s">
        <v>34</v>
      </c>
      <c r="C1015" s="2">
        <f>HYPERLINK("https://cao.dolgi.msk.ru/account/1050405836/", 1050405836)</f>
        <v>1050405836</v>
      </c>
      <c r="D1015" s="4">
        <v>240401.63</v>
      </c>
      <c r="E1015">
        <v>38.81</v>
      </c>
    </row>
    <row r="1016" spans="1:5" x14ac:dyDescent="0.25">
      <c r="A1016" t="s">
        <v>424</v>
      </c>
      <c r="B1016" t="s">
        <v>37</v>
      </c>
      <c r="C1016" s="2">
        <f>HYPERLINK("https://cao.dolgi.msk.ru/account/1050405887/", 1050405887)</f>
        <v>1050405887</v>
      </c>
      <c r="D1016" s="4">
        <v>9467.34</v>
      </c>
      <c r="E1016">
        <v>2.29</v>
      </c>
    </row>
    <row r="1017" spans="1:5" x14ac:dyDescent="0.25">
      <c r="A1017" t="s">
        <v>424</v>
      </c>
      <c r="B1017" t="s">
        <v>46</v>
      </c>
      <c r="C1017" s="2">
        <f>HYPERLINK("https://cao.dolgi.msk.ru/account/1050406089/", 1050406089)</f>
        <v>1050406089</v>
      </c>
      <c r="D1017" s="4">
        <v>294413.92</v>
      </c>
      <c r="E1017">
        <v>81.05</v>
      </c>
    </row>
    <row r="1018" spans="1:5" x14ac:dyDescent="0.25">
      <c r="A1018" t="s">
        <v>424</v>
      </c>
      <c r="B1018" t="s">
        <v>47</v>
      </c>
      <c r="C1018" s="2">
        <f>HYPERLINK("https://cao.dolgi.msk.ru/account/1050406118/", 1050406118)</f>
        <v>1050406118</v>
      </c>
      <c r="D1018" s="4">
        <v>7645.28</v>
      </c>
      <c r="E1018">
        <v>1.33</v>
      </c>
    </row>
    <row r="1019" spans="1:5" x14ac:dyDescent="0.25">
      <c r="A1019" t="s">
        <v>424</v>
      </c>
      <c r="B1019" t="s">
        <v>66</v>
      </c>
      <c r="C1019" s="2">
        <f>HYPERLINK("https://cao.dolgi.msk.ru/account/1058137776/", 1058137776)</f>
        <v>1058137776</v>
      </c>
      <c r="D1019" s="4">
        <v>10027.43</v>
      </c>
      <c r="E1019">
        <v>2</v>
      </c>
    </row>
    <row r="1020" spans="1:5" x14ac:dyDescent="0.25">
      <c r="A1020" t="s">
        <v>424</v>
      </c>
      <c r="B1020" t="s">
        <v>132</v>
      </c>
      <c r="C1020" s="2">
        <f>HYPERLINK("https://cao.dolgi.msk.ru/account/1050408121/", 1050408121)</f>
        <v>1050408121</v>
      </c>
      <c r="D1020" s="4">
        <v>20291.45</v>
      </c>
      <c r="E1020">
        <v>4.66</v>
      </c>
    </row>
    <row r="1021" spans="1:5" x14ac:dyDescent="0.25">
      <c r="A1021" t="s">
        <v>424</v>
      </c>
      <c r="B1021" t="s">
        <v>153</v>
      </c>
      <c r="C1021" s="2">
        <f>HYPERLINK("https://cao.dolgi.msk.ru/account/1050408594/", 1050408594)</f>
        <v>1050408594</v>
      </c>
      <c r="D1021" s="4">
        <v>9600.6</v>
      </c>
      <c r="E1021">
        <v>2.59</v>
      </c>
    </row>
    <row r="1022" spans="1:5" x14ac:dyDescent="0.25">
      <c r="A1022" t="s">
        <v>424</v>
      </c>
      <c r="B1022" t="s">
        <v>155</v>
      </c>
      <c r="C1022" s="2">
        <f>HYPERLINK("https://cao.dolgi.msk.ru/account/1050408631/", 1050408631)</f>
        <v>1050408631</v>
      </c>
      <c r="D1022" s="4">
        <v>6202.08</v>
      </c>
      <c r="E1022">
        <v>1.01</v>
      </c>
    </row>
    <row r="1023" spans="1:5" x14ac:dyDescent="0.25">
      <c r="A1023" t="s">
        <v>425</v>
      </c>
      <c r="B1023" t="s">
        <v>9</v>
      </c>
      <c r="C1023" s="2">
        <f>HYPERLINK("https://cao.dolgi.msk.ru/account/1050404737/", 1050404737)</f>
        <v>1050404737</v>
      </c>
      <c r="D1023" s="4">
        <v>7243.96</v>
      </c>
      <c r="E1023">
        <v>1.74</v>
      </c>
    </row>
    <row r="1024" spans="1:5" x14ac:dyDescent="0.25">
      <c r="A1024" t="s">
        <v>425</v>
      </c>
      <c r="B1024" t="s">
        <v>12</v>
      </c>
      <c r="C1024" s="2">
        <f>HYPERLINK("https://cao.dolgi.msk.ru/account/1050404761/", 1050404761)</f>
        <v>1050404761</v>
      </c>
      <c r="D1024" s="4">
        <v>7205.4</v>
      </c>
      <c r="E1024">
        <v>1.1200000000000001</v>
      </c>
    </row>
    <row r="1025" spans="1:5" x14ac:dyDescent="0.25">
      <c r="A1025" t="s">
        <v>425</v>
      </c>
      <c r="B1025" t="s">
        <v>93</v>
      </c>
      <c r="C1025" s="2">
        <f>HYPERLINK("https://cao.dolgi.msk.ru/account/1050404841/", 1050404841)</f>
        <v>1050404841</v>
      </c>
      <c r="D1025" s="4">
        <v>8273.44</v>
      </c>
      <c r="E1025">
        <v>2</v>
      </c>
    </row>
    <row r="1026" spans="1:5" x14ac:dyDescent="0.25">
      <c r="A1026" t="s">
        <v>425</v>
      </c>
      <c r="B1026" t="s">
        <v>21</v>
      </c>
      <c r="C1026" s="2">
        <f>HYPERLINK("https://cao.dolgi.msk.ru/account/1050404884/", 1050404884)</f>
        <v>1050404884</v>
      </c>
      <c r="D1026" s="4">
        <v>5013.8999999999996</v>
      </c>
      <c r="E1026">
        <v>1.9</v>
      </c>
    </row>
    <row r="1027" spans="1:5" x14ac:dyDescent="0.25">
      <c r="A1027" t="s">
        <v>425</v>
      </c>
      <c r="B1027" t="s">
        <v>23</v>
      </c>
      <c r="C1027" s="2">
        <f>HYPERLINK("https://cao.dolgi.msk.ru/account/1058024202/", 1058024202)</f>
        <v>1058024202</v>
      </c>
      <c r="D1027" s="4">
        <v>18910.8</v>
      </c>
      <c r="E1027">
        <v>3</v>
      </c>
    </row>
    <row r="1028" spans="1:5" x14ac:dyDescent="0.25">
      <c r="A1028" t="s">
        <v>425</v>
      </c>
      <c r="B1028" t="s">
        <v>36</v>
      </c>
      <c r="C1028" s="2">
        <f>HYPERLINK("https://cao.dolgi.msk.ru/account/1058021319/", 1058021319)</f>
        <v>1058021319</v>
      </c>
      <c r="D1028" s="4">
        <v>11068.5</v>
      </c>
      <c r="E1028">
        <v>2.72</v>
      </c>
    </row>
    <row r="1029" spans="1:5" x14ac:dyDescent="0.25">
      <c r="A1029" t="s">
        <v>425</v>
      </c>
      <c r="B1029" t="s">
        <v>60</v>
      </c>
      <c r="C1029" s="2">
        <f>HYPERLINK("https://cao.dolgi.msk.ru/account/1050405385/", 1050405385)</f>
        <v>1050405385</v>
      </c>
      <c r="D1029" s="4">
        <v>15748.64</v>
      </c>
      <c r="E1029">
        <v>3.89</v>
      </c>
    </row>
    <row r="1030" spans="1:5" x14ac:dyDescent="0.25">
      <c r="A1030" t="s">
        <v>426</v>
      </c>
      <c r="B1030" t="s">
        <v>7</v>
      </c>
      <c r="C1030" s="2">
        <f>HYPERLINK("https://cao.dolgi.msk.ru/account/1050403953/", 1050403953)</f>
        <v>1050403953</v>
      </c>
      <c r="D1030" s="4">
        <v>131972.45000000001</v>
      </c>
      <c r="E1030">
        <v>27.6</v>
      </c>
    </row>
    <row r="1031" spans="1:5" x14ac:dyDescent="0.25">
      <c r="A1031" t="s">
        <v>426</v>
      </c>
      <c r="B1031" t="s">
        <v>61</v>
      </c>
      <c r="C1031" s="2">
        <f>HYPERLINK("https://cao.dolgi.msk.ru/account/1050404622/", 1050404622)</f>
        <v>1050404622</v>
      </c>
      <c r="D1031" s="4">
        <v>13269.86</v>
      </c>
      <c r="E1031">
        <v>1.98</v>
      </c>
    </row>
    <row r="1032" spans="1:5" x14ac:dyDescent="0.25">
      <c r="A1032" t="s">
        <v>426</v>
      </c>
      <c r="B1032" t="s">
        <v>64</v>
      </c>
      <c r="C1032" s="2">
        <f>HYPERLINK("https://cao.dolgi.msk.ru/account/1050404665/", 1050404665)</f>
        <v>1050404665</v>
      </c>
      <c r="D1032" s="4">
        <v>20705</v>
      </c>
      <c r="E1032">
        <v>4.41</v>
      </c>
    </row>
    <row r="1033" spans="1:5" x14ac:dyDescent="0.25">
      <c r="A1033" t="s">
        <v>426</v>
      </c>
      <c r="B1033" t="s">
        <v>66</v>
      </c>
      <c r="C1033" s="2">
        <f>HYPERLINK("https://cao.dolgi.msk.ru/account/1050404681/", 1050404681)</f>
        <v>1050404681</v>
      </c>
      <c r="D1033" s="4">
        <v>5080.32</v>
      </c>
      <c r="E1033">
        <v>1.05</v>
      </c>
    </row>
    <row r="1034" spans="1:5" x14ac:dyDescent="0.25">
      <c r="A1034" t="s">
        <v>427</v>
      </c>
      <c r="B1034" t="s">
        <v>8</v>
      </c>
      <c r="C1034" s="2">
        <f>HYPERLINK("https://cao.dolgi.msk.ru/account/1050403187/", 1050403187)</f>
        <v>1050403187</v>
      </c>
      <c r="D1034" s="4">
        <v>9312.6</v>
      </c>
      <c r="E1034">
        <v>2.2599999999999998</v>
      </c>
    </row>
    <row r="1035" spans="1:5" x14ac:dyDescent="0.25">
      <c r="A1035" t="s">
        <v>427</v>
      </c>
      <c r="B1035" t="s">
        <v>13</v>
      </c>
      <c r="C1035" s="2">
        <f>HYPERLINK("https://cao.dolgi.msk.ru/account/1050403232/", 1050403232)</f>
        <v>1050403232</v>
      </c>
      <c r="D1035" s="4">
        <v>124381.02</v>
      </c>
      <c r="E1035">
        <v>24.12</v>
      </c>
    </row>
    <row r="1036" spans="1:5" x14ac:dyDescent="0.25">
      <c r="A1036" t="s">
        <v>427</v>
      </c>
      <c r="B1036" t="s">
        <v>34</v>
      </c>
      <c r="C1036" s="2">
        <f>HYPERLINK("https://cao.dolgi.msk.ru/account/1050403494/", 1050403494)</f>
        <v>1050403494</v>
      </c>
      <c r="D1036" s="4">
        <v>11357.62</v>
      </c>
      <c r="E1036">
        <v>1.96</v>
      </c>
    </row>
    <row r="1037" spans="1:5" x14ac:dyDescent="0.25">
      <c r="A1037" t="s">
        <v>427</v>
      </c>
      <c r="B1037" t="s">
        <v>46</v>
      </c>
      <c r="C1037" s="2">
        <f>HYPERLINK("https://cao.dolgi.msk.ru/account/1050403646/", 1050403646)</f>
        <v>1050403646</v>
      </c>
      <c r="D1037" s="4">
        <v>11864.3</v>
      </c>
      <c r="E1037">
        <v>2.3199999999999998</v>
      </c>
    </row>
    <row r="1038" spans="1:5" x14ac:dyDescent="0.25">
      <c r="A1038" t="s">
        <v>427</v>
      </c>
      <c r="B1038" t="s">
        <v>47</v>
      </c>
      <c r="C1038" s="2">
        <f>HYPERLINK("https://cao.dolgi.msk.ru/account/1050403654/", 1050403654)</f>
        <v>1050403654</v>
      </c>
      <c r="D1038" s="4">
        <v>8782.6</v>
      </c>
      <c r="E1038">
        <v>1.41</v>
      </c>
    </row>
    <row r="1039" spans="1:5" x14ac:dyDescent="0.25">
      <c r="A1039" t="s">
        <v>427</v>
      </c>
      <c r="B1039" t="s">
        <v>95</v>
      </c>
      <c r="C1039" s="2">
        <f>HYPERLINK("https://cao.dolgi.msk.ru/account/1050403689/", 1050403689)</f>
        <v>1050403689</v>
      </c>
      <c r="D1039" s="4">
        <v>22437.52</v>
      </c>
      <c r="E1039">
        <v>3.72</v>
      </c>
    </row>
    <row r="1040" spans="1:5" x14ac:dyDescent="0.25">
      <c r="A1040" t="s">
        <v>427</v>
      </c>
      <c r="B1040" t="s">
        <v>61</v>
      </c>
      <c r="C1040" s="2">
        <f>HYPERLINK("https://cao.dolgi.msk.ru/account/1050403857/", 1050403857)</f>
        <v>1050403857</v>
      </c>
      <c r="D1040" s="4">
        <v>15592.31</v>
      </c>
      <c r="E1040">
        <v>5.03</v>
      </c>
    </row>
    <row r="1041" spans="1:5" x14ac:dyDescent="0.25">
      <c r="A1041" t="s">
        <v>428</v>
      </c>
      <c r="B1041" t="s">
        <v>31</v>
      </c>
      <c r="C1041" s="2">
        <f>HYPERLINK("https://cao.dolgi.msk.ru/account/1050402678/", 1050402678)</f>
        <v>1050402678</v>
      </c>
      <c r="D1041" s="4">
        <v>7566.52</v>
      </c>
      <c r="E1041">
        <v>1.9</v>
      </c>
    </row>
    <row r="1042" spans="1:5" x14ac:dyDescent="0.25">
      <c r="A1042" t="s">
        <v>428</v>
      </c>
      <c r="B1042" t="s">
        <v>35</v>
      </c>
      <c r="C1042" s="2">
        <f>HYPERLINK("https://cao.dolgi.msk.ru/account/1050402715/", 1050402715)</f>
        <v>1050402715</v>
      </c>
      <c r="D1042" s="4">
        <v>7707.86</v>
      </c>
      <c r="E1042">
        <v>1.74</v>
      </c>
    </row>
    <row r="1043" spans="1:5" x14ac:dyDescent="0.25">
      <c r="A1043" t="s">
        <v>428</v>
      </c>
      <c r="B1043" t="s">
        <v>36</v>
      </c>
      <c r="C1043" s="2">
        <f>HYPERLINK("https://cao.dolgi.msk.ru/account/1050402723/", 1050402723)</f>
        <v>1050402723</v>
      </c>
      <c r="D1043" s="4">
        <v>8475.2800000000007</v>
      </c>
      <c r="E1043">
        <v>2.09</v>
      </c>
    </row>
    <row r="1044" spans="1:5" x14ac:dyDescent="0.25">
      <c r="A1044" t="s">
        <v>428</v>
      </c>
      <c r="B1044" t="s">
        <v>43</v>
      </c>
      <c r="C1044" s="2">
        <f>HYPERLINK("https://cao.dolgi.msk.ru/account/1050402811/", 1050402811)</f>
        <v>1050402811</v>
      </c>
      <c r="D1044" s="4">
        <v>108209.37</v>
      </c>
      <c r="E1044">
        <v>35.67</v>
      </c>
    </row>
    <row r="1045" spans="1:5" x14ac:dyDescent="0.25">
      <c r="A1045" t="s">
        <v>429</v>
      </c>
      <c r="B1045" t="s">
        <v>42</v>
      </c>
      <c r="C1045" s="2">
        <f>HYPERLINK("https://cao.dolgi.msk.ru/account/1050402029/", 1050402029)</f>
        <v>1050402029</v>
      </c>
      <c r="D1045" s="4">
        <v>5279.16</v>
      </c>
      <c r="E1045">
        <v>1.04</v>
      </c>
    </row>
    <row r="1046" spans="1:5" x14ac:dyDescent="0.25">
      <c r="A1046" t="s">
        <v>429</v>
      </c>
      <c r="B1046" t="s">
        <v>44</v>
      </c>
      <c r="C1046" s="2">
        <f>HYPERLINK("https://cao.dolgi.msk.ru/account/1050402045/", 1050402045)</f>
        <v>1050402045</v>
      </c>
      <c r="D1046" s="4">
        <v>10296.15</v>
      </c>
      <c r="E1046">
        <v>1.86</v>
      </c>
    </row>
    <row r="1047" spans="1:5" x14ac:dyDescent="0.25">
      <c r="A1047" t="s">
        <v>430</v>
      </c>
      <c r="B1047" t="s">
        <v>106</v>
      </c>
      <c r="C1047" s="2">
        <f>HYPERLINK("https://cao.dolgi.msk.ru/account/1050419226/", 1050419226)</f>
        <v>1050419226</v>
      </c>
      <c r="D1047" s="4">
        <v>5333</v>
      </c>
      <c r="E1047">
        <v>1.03</v>
      </c>
    </row>
    <row r="1048" spans="1:5" x14ac:dyDescent="0.25">
      <c r="A1048" t="s">
        <v>430</v>
      </c>
      <c r="B1048" t="s">
        <v>118</v>
      </c>
      <c r="C1048" s="2">
        <f>HYPERLINK("https://cao.dolgi.msk.ru/account/1058016456/", 1058016456)</f>
        <v>1058016456</v>
      </c>
      <c r="D1048" s="4">
        <v>9710.93</v>
      </c>
      <c r="E1048">
        <v>1.72</v>
      </c>
    </row>
    <row r="1049" spans="1:5" x14ac:dyDescent="0.25">
      <c r="A1049" t="s">
        <v>430</v>
      </c>
      <c r="B1049" t="s">
        <v>126</v>
      </c>
      <c r="C1049" s="2">
        <f>HYPERLINK("https://cao.dolgi.msk.ru/account/1050419496/", 1050419496)</f>
        <v>1050419496</v>
      </c>
      <c r="D1049" s="4">
        <v>57634.11</v>
      </c>
      <c r="E1049">
        <v>17.27</v>
      </c>
    </row>
    <row r="1050" spans="1:5" x14ac:dyDescent="0.25">
      <c r="A1050" t="s">
        <v>431</v>
      </c>
      <c r="B1050" t="s">
        <v>13</v>
      </c>
      <c r="C1050" s="2">
        <f>HYPERLINK("https://cao.dolgi.msk.ru/account/1050697883/", 1050697883)</f>
        <v>1050697883</v>
      </c>
      <c r="D1050" s="4">
        <v>14443.13</v>
      </c>
      <c r="E1050">
        <v>2.37</v>
      </c>
    </row>
    <row r="1051" spans="1:5" x14ac:dyDescent="0.25">
      <c r="A1051" t="s">
        <v>431</v>
      </c>
      <c r="B1051" t="s">
        <v>22</v>
      </c>
      <c r="C1051" s="2">
        <f>HYPERLINK("https://cao.dolgi.msk.ru/account/1050698042/", 1050698042)</f>
        <v>1050698042</v>
      </c>
      <c r="D1051" s="4">
        <v>131734.04</v>
      </c>
      <c r="E1051">
        <v>36.950000000000003</v>
      </c>
    </row>
    <row r="1052" spans="1:5" x14ac:dyDescent="0.25">
      <c r="A1052" t="s">
        <v>431</v>
      </c>
      <c r="B1052" t="s">
        <v>43</v>
      </c>
      <c r="C1052" s="2">
        <f>HYPERLINK("https://cao.dolgi.msk.ru/account/1050698384/", 1050698384)</f>
        <v>1050698384</v>
      </c>
      <c r="D1052" s="4">
        <v>8429.67</v>
      </c>
      <c r="E1052">
        <v>1.83</v>
      </c>
    </row>
    <row r="1053" spans="1:5" x14ac:dyDescent="0.25">
      <c r="A1053" t="s">
        <v>432</v>
      </c>
      <c r="B1053" t="s">
        <v>21</v>
      </c>
      <c r="C1053" s="2">
        <f>HYPERLINK("https://cao.dolgi.msk.ru/account/1056025148/", 1056025148)</f>
        <v>1056025148</v>
      </c>
      <c r="D1053" s="4">
        <v>5353.22</v>
      </c>
      <c r="E1053">
        <v>1.07</v>
      </c>
    </row>
    <row r="1054" spans="1:5" x14ac:dyDescent="0.25">
      <c r="A1054" t="s">
        <v>432</v>
      </c>
      <c r="B1054" t="s">
        <v>31</v>
      </c>
      <c r="C1054" s="2">
        <f>HYPERLINK("https://cao.dolgi.msk.ru/account/1058017985/", 1058017985)</f>
        <v>1058017985</v>
      </c>
      <c r="D1054" s="4">
        <v>47958.79</v>
      </c>
      <c r="E1054">
        <v>9.3000000000000007</v>
      </c>
    </row>
    <row r="1055" spans="1:5" x14ac:dyDescent="0.25">
      <c r="A1055" t="s">
        <v>432</v>
      </c>
      <c r="B1055" t="s">
        <v>37</v>
      </c>
      <c r="C1055" s="2">
        <f>HYPERLINK("https://cao.dolgi.msk.ru/account/1050665427/", 1050665427)</f>
        <v>1050665427</v>
      </c>
      <c r="D1055" s="4">
        <v>686872.02</v>
      </c>
      <c r="E1055">
        <v>60.18</v>
      </c>
    </row>
    <row r="1056" spans="1:5" x14ac:dyDescent="0.25">
      <c r="A1056" t="s">
        <v>432</v>
      </c>
      <c r="B1056" t="s">
        <v>53</v>
      </c>
      <c r="C1056" s="2">
        <f>HYPERLINK("https://cao.dolgi.msk.ru/account/1050665697/", 1050665697)</f>
        <v>1050665697</v>
      </c>
      <c r="D1056" s="4">
        <v>20852.22</v>
      </c>
      <c r="E1056">
        <v>2.98</v>
      </c>
    </row>
    <row r="1057" spans="1:5" x14ac:dyDescent="0.25">
      <c r="A1057" t="s">
        <v>433</v>
      </c>
      <c r="B1057" t="s">
        <v>21</v>
      </c>
      <c r="C1057" s="2">
        <f>HYPERLINK("https://cao.dolgi.msk.ru/account/1050658745/", 1050658745)</f>
        <v>1050658745</v>
      </c>
      <c r="D1057" s="4">
        <v>41103.379999999997</v>
      </c>
      <c r="E1057">
        <v>8.98</v>
      </c>
    </row>
    <row r="1058" spans="1:5" x14ac:dyDescent="0.25">
      <c r="A1058" t="s">
        <v>434</v>
      </c>
      <c r="B1058" t="s">
        <v>8</v>
      </c>
      <c r="C1058" s="2">
        <f>HYPERLINK("https://cao.dolgi.msk.ru/account/1050659414/", 1050659414)</f>
        <v>1050659414</v>
      </c>
      <c r="D1058" s="4">
        <v>36565.72</v>
      </c>
      <c r="E1058">
        <v>4.79</v>
      </c>
    </row>
    <row r="1059" spans="1:5" x14ac:dyDescent="0.25">
      <c r="A1059" t="s">
        <v>434</v>
      </c>
      <c r="B1059" t="s">
        <v>34</v>
      </c>
      <c r="C1059" s="2">
        <f>HYPERLINK("https://cao.dolgi.msk.ru/account/1050660124/", 1050660124)</f>
        <v>1050660124</v>
      </c>
      <c r="D1059" s="4">
        <v>20603.32</v>
      </c>
      <c r="E1059">
        <v>2.0699999999999998</v>
      </c>
    </row>
    <row r="1060" spans="1:5" x14ac:dyDescent="0.25">
      <c r="A1060" t="s">
        <v>434</v>
      </c>
      <c r="B1060" t="s">
        <v>49</v>
      </c>
      <c r="C1060" s="2">
        <f>HYPERLINK("https://cao.dolgi.msk.ru/account/1050660511/", 1050660511)</f>
        <v>1050660511</v>
      </c>
      <c r="D1060" s="4">
        <v>15329.69</v>
      </c>
      <c r="E1060">
        <v>1.67</v>
      </c>
    </row>
    <row r="1061" spans="1:5" x14ac:dyDescent="0.25">
      <c r="A1061" t="s">
        <v>434</v>
      </c>
      <c r="B1061" t="s">
        <v>51</v>
      </c>
      <c r="C1061" s="2">
        <f>HYPERLINK("https://cao.dolgi.msk.ru/account/1050660554/", 1050660554)</f>
        <v>1050660554</v>
      </c>
      <c r="D1061" s="4">
        <v>29790.09</v>
      </c>
      <c r="E1061">
        <v>3.44</v>
      </c>
    </row>
    <row r="1062" spans="1:5" x14ac:dyDescent="0.25">
      <c r="A1062" t="s">
        <v>435</v>
      </c>
      <c r="B1062" t="s">
        <v>17</v>
      </c>
      <c r="C1062" s="2">
        <f>HYPERLINK("https://cao.dolgi.msk.ru/account/1050255794/", 1050255794)</f>
        <v>1050255794</v>
      </c>
      <c r="D1062" s="4">
        <v>12327.96</v>
      </c>
      <c r="E1062">
        <v>2.92</v>
      </c>
    </row>
    <row r="1063" spans="1:5" x14ac:dyDescent="0.25">
      <c r="A1063" t="s">
        <v>435</v>
      </c>
      <c r="B1063" t="s">
        <v>20</v>
      </c>
      <c r="C1063" s="2">
        <f>HYPERLINK("https://cao.dolgi.msk.ru/account/1050256295/", 1050256295)</f>
        <v>1050256295</v>
      </c>
      <c r="D1063" s="4">
        <v>22752.27</v>
      </c>
      <c r="E1063">
        <v>1.9</v>
      </c>
    </row>
    <row r="1064" spans="1:5" x14ac:dyDescent="0.25">
      <c r="A1064" t="s">
        <v>436</v>
      </c>
      <c r="B1064" t="s">
        <v>18</v>
      </c>
      <c r="C1064" s="2">
        <f>HYPERLINK("https://cao.dolgi.msk.ru/account/1050300428/", 1050300428)</f>
        <v>1050300428</v>
      </c>
      <c r="D1064" s="4">
        <v>16832.830000000002</v>
      </c>
      <c r="E1064">
        <v>1.93</v>
      </c>
    </row>
    <row r="1065" spans="1:5" x14ac:dyDescent="0.25">
      <c r="A1065" t="s">
        <v>436</v>
      </c>
      <c r="B1065" t="s">
        <v>20</v>
      </c>
      <c r="C1065" s="2">
        <f>HYPERLINK("https://cao.dolgi.msk.ru/account/1050300487/", 1050300487)</f>
        <v>1050300487</v>
      </c>
      <c r="D1065" s="4">
        <v>13493.9</v>
      </c>
      <c r="E1065">
        <v>1.03</v>
      </c>
    </row>
    <row r="1066" spans="1:5" x14ac:dyDescent="0.25">
      <c r="A1066" t="s">
        <v>436</v>
      </c>
      <c r="B1066" t="s">
        <v>29</v>
      </c>
      <c r="C1066" s="2">
        <f>HYPERLINK("https://cao.dolgi.msk.ru/account/1050300575/", 1050300575)</f>
        <v>1050300575</v>
      </c>
      <c r="D1066" s="4">
        <v>10950.89</v>
      </c>
      <c r="E1066">
        <v>1.01</v>
      </c>
    </row>
    <row r="1067" spans="1:5" x14ac:dyDescent="0.25">
      <c r="A1067" t="s">
        <v>436</v>
      </c>
      <c r="B1067" t="s">
        <v>32</v>
      </c>
      <c r="C1067" s="2">
        <f>HYPERLINK("https://cao.dolgi.msk.ru/account/1050300639/", 1050300639)</f>
        <v>1050300639</v>
      </c>
      <c r="D1067" s="4">
        <v>17752.080000000002</v>
      </c>
      <c r="E1067">
        <v>1.64</v>
      </c>
    </row>
    <row r="1068" spans="1:5" x14ac:dyDescent="0.25">
      <c r="A1068" t="s">
        <v>436</v>
      </c>
      <c r="B1068" t="s">
        <v>33</v>
      </c>
      <c r="C1068" s="2">
        <f>HYPERLINK("https://cao.dolgi.msk.ru/account/1050300655/", 1050300655)</f>
        <v>1050300655</v>
      </c>
      <c r="D1068" s="4">
        <v>13762.09</v>
      </c>
      <c r="E1068">
        <v>1.03</v>
      </c>
    </row>
    <row r="1069" spans="1:5" x14ac:dyDescent="0.25">
      <c r="A1069" t="s">
        <v>437</v>
      </c>
      <c r="B1069" t="s">
        <v>7</v>
      </c>
      <c r="C1069" s="2">
        <f>HYPERLINK("https://cao.dolgi.msk.ru/account/1050266602/", 1050266602)</f>
        <v>1050266602</v>
      </c>
      <c r="D1069" s="4">
        <v>9263.6</v>
      </c>
      <c r="E1069">
        <v>2</v>
      </c>
    </row>
    <row r="1070" spans="1:5" x14ac:dyDescent="0.25">
      <c r="A1070" t="s">
        <v>438</v>
      </c>
      <c r="B1070" t="s">
        <v>15</v>
      </c>
      <c r="C1070" s="2">
        <f>HYPERLINK("https://cao.dolgi.msk.ru/account/1056046205/", 1056046205)</f>
        <v>1056046205</v>
      </c>
      <c r="D1070" s="4">
        <v>38544.1</v>
      </c>
      <c r="E1070">
        <v>6.17</v>
      </c>
    </row>
    <row r="1071" spans="1:5" x14ac:dyDescent="0.25">
      <c r="A1071" t="s">
        <v>438</v>
      </c>
      <c r="B1071" t="s">
        <v>48</v>
      </c>
      <c r="C1071" s="2">
        <f>HYPERLINK("https://cao.dolgi.msk.ru/account/1050263671/", 1050263671)</f>
        <v>1050263671</v>
      </c>
      <c r="D1071" s="4">
        <v>36186.46</v>
      </c>
      <c r="E1071">
        <v>12.16</v>
      </c>
    </row>
    <row r="1072" spans="1:5" x14ac:dyDescent="0.25">
      <c r="A1072" t="s">
        <v>438</v>
      </c>
      <c r="B1072" t="s">
        <v>52</v>
      </c>
      <c r="C1072" s="2">
        <f>HYPERLINK("https://cao.dolgi.msk.ru/account/1050263735/", 1050263735)</f>
        <v>1050263735</v>
      </c>
      <c r="D1072" s="4">
        <v>140829.62</v>
      </c>
      <c r="E1072">
        <v>24.47</v>
      </c>
    </row>
    <row r="1073" spans="1:5" x14ac:dyDescent="0.25">
      <c r="A1073" t="s">
        <v>439</v>
      </c>
      <c r="B1073" t="s">
        <v>22</v>
      </c>
      <c r="C1073" s="2">
        <f>HYPERLINK("https://cao.dolgi.msk.ru/account/1050264076/", 1050264076)</f>
        <v>1050264076</v>
      </c>
      <c r="D1073" s="4">
        <v>13973.43</v>
      </c>
      <c r="E1073">
        <v>2.25</v>
      </c>
    </row>
    <row r="1074" spans="1:5" x14ac:dyDescent="0.25">
      <c r="A1074" t="s">
        <v>439</v>
      </c>
      <c r="B1074" t="s">
        <v>51</v>
      </c>
      <c r="C1074" s="2">
        <f>HYPERLINK("https://cao.dolgi.msk.ru/account/1050264439/", 1050264439)</f>
        <v>1050264439</v>
      </c>
      <c r="D1074" s="4">
        <v>26953.39</v>
      </c>
      <c r="E1074">
        <v>5</v>
      </c>
    </row>
    <row r="1075" spans="1:5" x14ac:dyDescent="0.25">
      <c r="A1075" t="s">
        <v>439</v>
      </c>
      <c r="B1075" t="s">
        <v>63</v>
      </c>
      <c r="C1075" s="2">
        <f>HYPERLINK("https://cao.dolgi.msk.ru/account/1050264586/", 1050264586)</f>
        <v>1050264586</v>
      </c>
      <c r="D1075" s="4">
        <v>8472.25</v>
      </c>
      <c r="E1075">
        <v>2.63</v>
      </c>
    </row>
    <row r="1076" spans="1:5" x14ac:dyDescent="0.25">
      <c r="A1076" t="s">
        <v>440</v>
      </c>
      <c r="B1076" t="s">
        <v>12</v>
      </c>
      <c r="C1076" s="2">
        <f>HYPERLINK("https://cao.dolgi.msk.ru/account/1050269985/", 1050269985)</f>
        <v>1050269985</v>
      </c>
      <c r="D1076" s="4">
        <v>14407.17</v>
      </c>
      <c r="E1076">
        <v>2.1800000000000002</v>
      </c>
    </row>
    <row r="1077" spans="1:5" x14ac:dyDescent="0.25">
      <c r="A1077" t="s">
        <v>440</v>
      </c>
      <c r="B1077" t="s">
        <v>33</v>
      </c>
      <c r="C1077" s="2">
        <f>HYPERLINK("https://cao.dolgi.msk.ru/account/1050270249/", 1050270249)</f>
        <v>1050270249</v>
      </c>
      <c r="D1077" s="4">
        <v>33632.35</v>
      </c>
      <c r="E1077">
        <v>2.99</v>
      </c>
    </row>
    <row r="1078" spans="1:5" x14ac:dyDescent="0.25">
      <c r="A1078" t="s">
        <v>440</v>
      </c>
      <c r="B1078" t="s">
        <v>50</v>
      </c>
      <c r="C1078" s="2">
        <f>HYPERLINK("https://cao.dolgi.msk.ru/account/1050270476/", 1050270476)</f>
        <v>1050270476</v>
      </c>
      <c r="D1078" s="4">
        <v>9316.61</v>
      </c>
      <c r="E1078">
        <v>1.94</v>
      </c>
    </row>
    <row r="1079" spans="1:5" x14ac:dyDescent="0.25">
      <c r="A1079" t="s">
        <v>440</v>
      </c>
      <c r="B1079" t="s">
        <v>52</v>
      </c>
      <c r="C1079" s="2">
        <f>HYPERLINK("https://cao.dolgi.msk.ru/account/1050270492/", 1050270492)</f>
        <v>1050270492</v>
      </c>
      <c r="D1079" s="4">
        <v>7561.94</v>
      </c>
      <c r="E1079">
        <v>1.98</v>
      </c>
    </row>
    <row r="1080" spans="1:5" x14ac:dyDescent="0.25">
      <c r="A1080" t="s">
        <v>440</v>
      </c>
      <c r="B1080" t="s">
        <v>75</v>
      </c>
      <c r="C1080" s="2">
        <f>HYPERLINK("https://cao.dolgi.msk.ru/account/1050270775/", 1050270775)</f>
        <v>1050270775</v>
      </c>
      <c r="D1080" s="4">
        <v>59695.77</v>
      </c>
      <c r="E1080">
        <v>7.58</v>
      </c>
    </row>
    <row r="1081" spans="1:5" x14ac:dyDescent="0.25">
      <c r="A1081" t="s">
        <v>440</v>
      </c>
      <c r="B1081" t="s">
        <v>137</v>
      </c>
      <c r="C1081" s="2">
        <f>HYPERLINK("https://cao.dolgi.msk.ru/account/1050271268/", 1050271268)</f>
        <v>1050271268</v>
      </c>
      <c r="D1081" s="4">
        <v>165213.4</v>
      </c>
      <c r="E1081">
        <v>35.1</v>
      </c>
    </row>
    <row r="1082" spans="1:5" x14ac:dyDescent="0.25">
      <c r="A1082" t="s">
        <v>440</v>
      </c>
      <c r="B1082" t="s">
        <v>119</v>
      </c>
      <c r="C1082" s="2">
        <f>HYPERLINK("https://cao.dolgi.msk.ru/account/1050271284/", 1050271284)</f>
        <v>1050271284</v>
      </c>
      <c r="D1082" s="4">
        <v>6615.01</v>
      </c>
      <c r="E1082">
        <v>1.92</v>
      </c>
    </row>
    <row r="1083" spans="1:5" x14ac:dyDescent="0.25">
      <c r="A1083" t="s">
        <v>440</v>
      </c>
      <c r="B1083" t="s">
        <v>124</v>
      </c>
      <c r="C1083" s="2">
        <f>HYPERLINK("https://cao.dolgi.msk.ru/account/1050271348/", 1050271348)</f>
        <v>1050271348</v>
      </c>
      <c r="D1083" s="4">
        <v>36461.160000000003</v>
      </c>
      <c r="E1083">
        <v>5.01</v>
      </c>
    </row>
    <row r="1084" spans="1:5" x14ac:dyDescent="0.25">
      <c r="A1084" t="s">
        <v>440</v>
      </c>
      <c r="B1084" t="s">
        <v>143</v>
      </c>
      <c r="C1084" s="2">
        <f>HYPERLINK("https://cao.dolgi.msk.ru/account/1050271559/", 1050271559)</f>
        <v>1050271559</v>
      </c>
      <c r="D1084" s="4">
        <v>8264.41</v>
      </c>
      <c r="E1084">
        <v>2.13</v>
      </c>
    </row>
    <row r="1085" spans="1:5" x14ac:dyDescent="0.25">
      <c r="A1085" t="s">
        <v>440</v>
      </c>
      <c r="B1085" t="s">
        <v>153</v>
      </c>
      <c r="C1085" s="2">
        <f>HYPERLINK("https://cao.dolgi.msk.ru/account/1050271778/", 1050271778)</f>
        <v>1050271778</v>
      </c>
      <c r="D1085" s="4">
        <v>8270.27</v>
      </c>
      <c r="E1085">
        <v>1.92</v>
      </c>
    </row>
    <row r="1086" spans="1:5" x14ac:dyDescent="0.25">
      <c r="A1086" t="s">
        <v>441</v>
      </c>
      <c r="B1086" t="s">
        <v>10</v>
      </c>
      <c r="C1086" s="2">
        <f>HYPERLINK("https://cao.dolgi.msk.ru/account/1058011786/", 1058011786)</f>
        <v>1058011786</v>
      </c>
      <c r="D1086" s="4">
        <v>11168.43</v>
      </c>
      <c r="E1086">
        <v>1.77</v>
      </c>
    </row>
    <row r="1087" spans="1:5" x14ac:dyDescent="0.25">
      <c r="A1087" t="s">
        <v>442</v>
      </c>
      <c r="B1087" t="s">
        <v>98</v>
      </c>
      <c r="C1087" s="2">
        <f>HYPERLINK("https://cao.dolgi.msk.ru/account/1050256885/", 1050256885)</f>
        <v>1050256885</v>
      </c>
      <c r="D1087" s="4">
        <v>9046.02</v>
      </c>
      <c r="E1087">
        <v>1.67</v>
      </c>
    </row>
    <row r="1088" spans="1:5" x14ac:dyDescent="0.25">
      <c r="A1088" t="s">
        <v>443</v>
      </c>
      <c r="B1088" t="s">
        <v>24</v>
      </c>
      <c r="C1088" s="2">
        <f>HYPERLINK("https://cao.dolgi.msk.ru/account/1058106785/", 1058106785)</f>
        <v>1058106785</v>
      </c>
      <c r="D1088" s="4">
        <v>9209.51</v>
      </c>
      <c r="E1088">
        <v>2.02</v>
      </c>
    </row>
    <row r="1089" spans="1:5" x14ac:dyDescent="0.25">
      <c r="A1089" t="s">
        <v>443</v>
      </c>
      <c r="B1089" t="s">
        <v>28</v>
      </c>
      <c r="C1089" s="2">
        <f>HYPERLINK("https://cao.dolgi.msk.ru/account/1050336009/", 1050336009)</f>
        <v>1050336009</v>
      </c>
      <c r="D1089" s="4">
        <v>8492.48</v>
      </c>
      <c r="E1089">
        <v>2.0499999999999998</v>
      </c>
    </row>
    <row r="1090" spans="1:5" x14ac:dyDescent="0.25">
      <c r="A1090" t="s">
        <v>443</v>
      </c>
      <c r="B1090" t="s">
        <v>29</v>
      </c>
      <c r="C1090" s="2">
        <f>HYPERLINK("https://cao.dolgi.msk.ru/account/1050336017/", 1050336017)</f>
        <v>1050336017</v>
      </c>
      <c r="D1090" s="4">
        <v>141491.21</v>
      </c>
      <c r="E1090">
        <v>23.44</v>
      </c>
    </row>
    <row r="1091" spans="1:5" x14ac:dyDescent="0.25">
      <c r="A1091" t="s">
        <v>443</v>
      </c>
      <c r="B1091" t="s">
        <v>44</v>
      </c>
      <c r="C1091" s="2">
        <f>HYPERLINK("https://cao.dolgi.msk.ru/account/1050336199/", 1050336199)</f>
        <v>1050336199</v>
      </c>
      <c r="D1091" s="4">
        <v>9910.6</v>
      </c>
      <c r="E1091">
        <v>2.5299999999999998</v>
      </c>
    </row>
    <row r="1092" spans="1:5" x14ac:dyDescent="0.25">
      <c r="A1092" t="s">
        <v>443</v>
      </c>
      <c r="B1092" t="s">
        <v>48</v>
      </c>
      <c r="C1092" s="2">
        <f>HYPERLINK("https://cao.dolgi.msk.ru/account/1050336279/", 1050336279)</f>
        <v>1050336279</v>
      </c>
      <c r="D1092" s="4">
        <v>6014.55</v>
      </c>
      <c r="E1092">
        <v>1.84</v>
      </c>
    </row>
    <row r="1093" spans="1:5" x14ac:dyDescent="0.25">
      <c r="A1093" t="s">
        <v>443</v>
      </c>
      <c r="B1093" t="s">
        <v>64</v>
      </c>
      <c r="C1093" s="2">
        <f>HYPERLINK("https://cao.dolgi.msk.ru/account/1050336455/", 1050336455)</f>
        <v>1050336455</v>
      </c>
      <c r="D1093" s="4">
        <v>111177.36</v>
      </c>
      <c r="E1093">
        <v>25.96</v>
      </c>
    </row>
    <row r="1094" spans="1:5" x14ac:dyDescent="0.25">
      <c r="A1094" t="s">
        <v>443</v>
      </c>
      <c r="B1094" t="s">
        <v>65</v>
      </c>
      <c r="C1094" s="2">
        <f>HYPERLINK("https://cao.dolgi.msk.ru/account/1050336463/", 1050336463)</f>
        <v>1050336463</v>
      </c>
      <c r="D1094" s="4">
        <v>225147.77</v>
      </c>
      <c r="E1094">
        <v>33.119999999999997</v>
      </c>
    </row>
    <row r="1095" spans="1:5" x14ac:dyDescent="0.25">
      <c r="A1095" t="s">
        <v>443</v>
      </c>
      <c r="B1095" t="s">
        <v>66</v>
      </c>
      <c r="C1095" s="2">
        <f>HYPERLINK("https://cao.dolgi.msk.ru/account/1050336471/", 1050336471)</f>
        <v>1050336471</v>
      </c>
      <c r="D1095" s="4">
        <v>156181.85</v>
      </c>
      <c r="E1095">
        <v>31.29</v>
      </c>
    </row>
    <row r="1096" spans="1:5" x14ac:dyDescent="0.25">
      <c r="A1096" t="s">
        <v>444</v>
      </c>
      <c r="B1096" t="s">
        <v>11</v>
      </c>
      <c r="C1096" s="2">
        <f>HYPERLINK("https://cao.dolgi.msk.ru/account/1050336594/", 1050336594)</f>
        <v>1050336594</v>
      </c>
      <c r="D1096" s="4">
        <v>19595.900000000001</v>
      </c>
      <c r="E1096">
        <v>2.88</v>
      </c>
    </row>
    <row r="1097" spans="1:5" x14ac:dyDescent="0.25">
      <c r="A1097" t="s">
        <v>444</v>
      </c>
      <c r="B1097" t="s">
        <v>17</v>
      </c>
      <c r="C1097" s="2">
        <f>HYPERLINK("https://cao.dolgi.msk.ru/account/1050336682/", 1050336682)</f>
        <v>1050336682</v>
      </c>
      <c r="D1097" s="4">
        <v>296923.81</v>
      </c>
      <c r="E1097">
        <v>23.7</v>
      </c>
    </row>
    <row r="1098" spans="1:5" x14ac:dyDescent="0.25">
      <c r="A1098" t="s">
        <v>444</v>
      </c>
      <c r="B1098" t="s">
        <v>32</v>
      </c>
      <c r="C1098" s="2">
        <f>HYPERLINK("https://cao.dolgi.msk.ru/account/1050336885/", 1050336885)</f>
        <v>1050336885</v>
      </c>
      <c r="D1098" s="4">
        <v>10154.459999999999</v>
      </c>
      <c r="E1098">
        <v>1.92</v>
      </c>
    </row>
    <row r="1099" spans="1:5" x14ac:dyDescent="0.25">
      <c r="A1099" t="s">
        <v>444</v>
      </c>
      <c r="B1099" t="s">
        <v>41</v>
      </c>
      <c r="C1099" s="2">
        <f>HYPERLINK("https://cao.dolgi.msk.ru/account/1058156475/", 1058156475)</f>
        <v>1058156475</v>
      </c>
      <c r="D1099" s="4">
        <v>32819.040000000001</v>
      </c>
      <c r="E1099">
        <v>5.35</v>
      </c>
    </row>
    <row r="1100" spans="1:5" x14ac:dyDescent="0.25">
      <c r="A1100" t="s">
        <v>444</v>
      </c>
      <c r="B1100" t="s">
        <v>44</v>
      </c>
      <c r="C1100" s="2">
        <f>HYPERLINK("https://cao.dolgi.msk.ru/account/1050337044/", 1050337044)</f>
        <v>1050337044</v>
      </c>
      <c r="D1100" s="4">
        <v>14127.89</v>
      </c>
      <c r="E1100">
        <v>2.16</v>
      </c>
    </row>
    <row r="1101" spans="1:5" x14ac:dyDescent="0.25">
      <c r="A1101" t="s">
        <v>444</v>
      </c>
      <c r="B1101" t="s">
        <v>47</v>
      </c>
      <c r="C1101" s="2">
        <f>HYPERLINK("https://cao.dolgi.msk.ru/account/1050337087/", 1050337087)</f>
        <v>1050337087</v>
      </c>
      <c r="D1101" s="4">
        <v>66095.05</v>
      </c>
      <c r="E1101">
        <v>15.19</v>
      </c>
    </row>
    <row r="1102" spans="1:5" x14ac:dyDescent="0.25">
      <c r="A1102" t="s">
        <v>444</v>
      </c>
      <c r="B1102" t="s">
        <v>55</v>
      </c>
      <c r="C1102" s="2">
        <f>HYPERLINK("https://cao.dolgi.msk.ru/account/1050337191/", 1050337191)</f>
        <v>1050337191</v>
      </c>
      <c r="D1102" s="4">
        <v>10378.200000000001</v>
      </c>
      <c r="E1102">
        <v>1.86</v>
      </c>
    </row>
    <row r="1103" spans="1:5" x14ac:dyDescent="0.25">
      <c r="A1103" t="s">
        <v>444</v>
      </c>
      <c r="B1103" t="s">
        <v>75</v>
      </c>
      <c r="C1103" s="2">
        <f>HYPERLINK("https://cao.dolgi.msk.ru/account/1050337474/", 1050337474)</f>
        <v>1050337474</v>
      </c>
      <c r="D1103" s="4">
        <v>12677.54</v>
      </c>
      <c r="E1103">
        <v>1.82</v>
      </c>
    </row>
    <row r="1104" spans="1:5" x14ac:dyDescent="0.25">
      <c r="A1104" t="s">
        <v>444</v>
      </c>
      <c r="B1104" t="s">
        <v>128</v>
      </c>
      <c r="C1104" s="2">
        <f>HYPERLINK("https://cao.dolgi.msk.ru/account/1050338151/", 1050338151)</f>
        <v>1050338151</v>
      </c>
      <c r="D1104" s="4">
        <v>14451.15</v>
      </c>
      <c r="E1104">
        <v>1.94</v>
      </c>
    </row>
    <row r="1105" spans="1:5" x14ac:dyDescent="0.25">
      <c r="A1105" t="s">
        <v>445</v>
      </c>
      <c r="B1105" t="s">
        <v>23</v>
      </c>
      <c r="C1105" s="2">
        <f>HYPERLINK("https://cao.dolgi.msk.ru/account/1050339269/", 1050339269)</f>
        <v>1050339269</v>
      </c>
      <c r="D1105" s="4">
        <v>10064.299999999999</v>
      </c>
      <c r="E1105">
        <v>2</v>
      </c>
    </row>
    <row r="1106" spans="1:5" x14ac:dyDescent="0.25">
      <c r="A1106" t="s">
        <v>445</v>
      </c>
      <c r="B1106" t="s">
        <v>27</v>
      </c>
      <c r="C1106" s="2">
        <f>HYPERLINK("https://cao.dolgi.msk.ru/account/1050339322/", 1050339322)</f>
        <v>1050339322</v>
      </c>
      <c r="D1106" s="4">
        <v>18034.189999999999</v>
      </c>
      <c r="E1106">
        <v>4.25</v>
      </c>
    </row>
    <row r="1107" spans="1:5" x14ac:dyDescent="0.25">
      <c r="A1107" t="s">
        <v>445</v>
      </c>
      <c r="B1107" t="s">
        <v>37</v>
      </c>
      <c r="C1107" s="2">
        <f>HYPERLINK("https://cao.dolgi.msk.ru/account/1050339584/", 1050339584)</f>
        <v>1050339584</v>
      </c>
      <c r="D1107" s="4">
        <v>15689.21</v>
      </c>
      <c r="E1107">
        <v>2.94</v>
      </c>
    </row>
    <row r="1108" spans="1:5" x14ac:dyDescent="0.25">
      <c r="A1108" t="s">
        <v>445</v>
      </c>
      <c r="B1108" t="s">
        <v>52</v>
      </c>
      <c r="C1108" s="2">
        <f>HYPERLINK("https://cao.dolgi.msk.ru/account/1050339998/", 1050339998)</f>
        <v>1050339998</v>
      </c>
      <c r="D1108" s="4">
        <v>10131.34</v>
      </c>
      <c r="E1108">
        <v>1.6</v>
      </c>
    </row>
    <row r="1109" spans="1:5" x14ac:dyDescent="0.25">
      <c r="A1109" t="s">
        <v>445</v>
      </c>
      <c r="B1109" t="s">
        <v>114</v>
      </c>
      <c r="C1109" s="2">
        <f>HYPERLINK("https://cao.dolgi.msk.ru/account/1050341369/", 1050341369)</f>
        <v>1050341369</v>
      </c>
      <c r="D1109" s="4">
        <v>42107.32</v>
      </c>
      <c r="E1109">
        <v>8.61</v>
      </c>
    </row>
    <row r="1110" spans="1:5" x14ac:dyDescent="0.25">
      <c r="A1110" t="s">
        <v>446</v>
      </c>
      <c r="B1110" t="s">
        <v>6</v>
      </c>
      <c r="C1110" s="2">
        <f>HYPERLINK("https://cao.dolgi.msk.ru/account/1050334898/", 1050334898)</f>
        <v>1050334898</v>
      </c>
      <c r="D1110" s="4">
        <v>7681.29</v>
      </c>
      <c r="E1110">
        <v>4.3499999999999996</v>
      </c>
    </row>
    <row r="1111" spans="1:5" x14ac:dyDescent="0.25">
      <c r="A1111" t="s">
        <v>446</v>
      </c>
      <c r="B1111" t="s">
        <v>18</v>
      </c>
      <c r="C1111" s="2">
        <f>HYPERLINK("https://cao.dolgi.msk.ru/account/1050335049/", 1050335049)</f>
        <v>1050335049</v>
      </c>
      <c r="D1111" s="4">
        <v>43865.38</v>
      </c>
      <c r="E1111">
        <v>12.05</v>
      </c>
    </row>
    <row r="1112" spans="1:5" x14ac:dyDescent="0.25">
      <c r="A1112" t="s">
        <v>446</v>
      </c>
      <c r="B1112" t="s">
        <v>36</v>
      </c>
      <c r="C1112" s="2">
        <f>HYPERLINK("https://cao.dolgi.msk.ru/account/1050335276/", 1050335276)</f>
        <v>1050335276</v>
      </c>
      <c r="D1112" s="4">
        <v>15966.69</v>
      </c>
      <c r="E1112">
        <v>3.47</v>
      </c>
    </row>
    <row r="1113" spans="1:5" x14ac:dyDescent="0.25">
      <c r="A1113" t="s">
        <v>446</v>
      </c>
      <c r="B1113" t="s">
        <v>38</v>
      </c>
      <c r="C1113" s="2">
        <f>HYPERLINK("https://cao.dolgi.msk.ru/account/1050335292/", 1050335292)</f>
        <v>1050335292</v>
      </c>
      <c r="D1113" s="4">
        <v>51782.66</v>
      </c>
      <c r="E1113">
        <v>12.1</v>
      </c>
    </row>
    <row r="1114" spans="1:5" x14ac:dyDescent="0.25">
      <c r="A1114" t="s">
        <v>446</v>
      </c>
      <c r="B1114" t="s">
        <v>39</v>
      </c>
      <c r="C1114" s="2">
        <f>HYPERLINK("https://cao.dolgi.msk.ru/account/1050335305/", 1050335305)</f>
        <v>1050335305</v>
      </c>
      <c r="D1114" s="4">
        <v>27056.7</v>
      </c>
      <c r="E1114">
        <v>4</v>
      </c>
    </row>
    <row r="1115" spans="1:5" x14ac:dyDescent="0.25">
      <c r="A1115" t="s">
        <v>446</v>
      </c>
      <c r="B1115" t="s">
        <v>51</v>
      </c>
      <c r="C1115" s="2">
        <f>HYPERLINK("https://cao.dolgi.msk.ru/account/1050335487/", 1050335487)</f>
        <v>1050335487</v>
      </c>
      <c r="D1115" s="4">
        <v>8702.56</v>
      </c>
      <c r="E1115">
        <v>2.0099999999999998</v>
      </c>
    </row>
    <row r="1116" spans="1:5" x14ac:dyDescent="0.25">
      <c r="A1116" t="s">
        <v>447</v>
      </c>
      <c r="B1116" t="s">
        <v>16</v>
      </c>
      <c r="C1116" s="2">
        <f>HYPERLINK("https://cao.dolgi.msk.ru/account/1050334134/", 1050334134)</f>
        <v>1050334134</v>
      </c>
      <c r="D1116" s="4">
        <v>6688.64</v>
      </c>
      <c r="E1116">
        <v>1.55</v>
      </c>
    </row>
    <row r="1117" spans="1:5" x14ac:dyDescent="0.25">
      <c r="A1117" t="s">
        <v>447</v>
      </c>
      <c r="B1117" t="s">
        <v>93</v>
      </c>
      <c r="C1117" s="2">
        <f>HYPERLINK("https://cao.dolgi.msk.ru/account/1050334185/", 1050334185)</f>
        <v>1050334185</v>
      </c>
      <c r="D1117" s="4">
        <v>20859.89</v>
      </c>
      <c r="E1117">
        <v>4.13</v>
      </c>
    </row>
    <row r="1118" spans="1:5" x14ac:dyDescent="0.25">
      <c r="A1118" t="s">
        <v>447</v>
      </c>
      <c r="B1118" t="s">
        <v>19</v>
      </c>
      <c r="C1118" s="2">
        <f>HYPERLINK("https://cao.dolgi.msk.ru/account/1050334206/", 1050334206)</f>
        <v>1050334206</v>
      </c>
      <c r="D1118" s="4">
        <v>245077.29</v>
      </c>
      <c r="E1118">
        <v>38.1</v>
      </c>
    </row>
    <row r="1119" spans="1:5" x14ac:dyDescent="0.25">
      <c r="A1119" t="s">
        <v>447</v>
      </c>
      <c r="B1119" t="s">
        <v>20</v>
      </c>
      <c r="C1119" s="2">
        <f>HYPERLINK("https://cao.dolgi.msk.ru/account/1050334222/", 1050334222)</f>
        <v>1050334222</v>
      </c>
      <c r="D1119" s="4">
        <v>7825.71</v>
      </c>
      <c r="E1119">
        <v>1.96</v>
      </c>
    </row>
    <row r="1120" spans="1:5" x14ac:dyDescent="0.25">
      <c r="A1120" t="s">
        <v>447</v>
      </c>
      <c r="B1120" t="s">
        <v>27</v>
      </c>
      <c r="C1120" s="2">
        <f>HYPERLINK("https://cao.dolgi.msk.ru/account/1050334337/", 1050334337)</f>
        <v>1050334337</v>
      </c>
      <c r="D1120" s="4">
        <v>518297.48</v>
      </c>
      <c r="E1120">
        <v>39</v>
      </c>
    </row>
    <row r="1121" spans="1:5" x14ac:dyDescent="0.25">
      <c r="A1121" t="s">
        <v>447</v>
      </c>
      <c r="B1121" t="s">
        <v>33</v>
      </c>
      <c r="C1121" s="2">
        <f>HYPERLINK("https://cao.dolgi.msk.ru/account/1058023349/", 1058023349)</f>
        <v>1058023349</v>
      </c>
      <c r="D1121" s="4">
        <v>9298.23</v>
      </c>
      <c r="E1121">
        <v>1.95</v>
      </c>
    </row>
    <row r="1122" spans="1:5" x14ac:dyDescent="0.25">
      <c r="A1122" t="s">
        <v>447</v>
      </c>
      <c r="B1122" t="s">
        <v>40</v>
      </c>
      <c r="C1122" s="2">
        <f>HYPERLINK("https://cao.dolgi.msk.ru/account/1050334484/", 1050334484)</f>
        <v>1050334484</v>
      </c>
      <c r="D1122" s="4">
        <v>13907.77</v>
      </c>
      <c r="E1122">
        <v>1.95</v>
      </c>
    </row>
    <row r="1123" spans="1:5" x14ac:dyDescent="0.25">
      <c r="A1123" t="s">
        <v>447</v>
      </c>
      <c r="B1123" t="s">
        <v>50</v>
      </c>
      <c r="C1123" s="2">
        <f>HYPERLINK("https://cao.dolgi.msk.ru/account/1050334636/", 1050334636)</f>
        <v>1050334636</v>
      </c>
      <c r="D1123" s="4">
        <v>13316.62</v>
      </c>
      <c r="E1123">
        <v>1.98</v>
      </c>
    </row>
    <row r="1124" spans="1:5" x14ac:dyDescent="0.25">
      <c r="A1124" t="s">
        <v>447</v>
      </c>
      <c r="B1124" t="s">
        <v>68</v>
      </c>
      <c r="C1124" s="2">
        <f>HYPERLINK("https://cao.dolgi.msk.ru/account/1050334847/", 1050334847)</f>
        <v>1050334847</v>
      </c>
      <c r="D1124" s="4">
        <v>12196.91</v>
      </c>
      <c r="E1124">
        <v>1.27</v>
      </c>
    </row>
    <row r="1125" spans="1:5" x14ac:dyDescent="0.25">
      <c r="A1125" t="s">
        <v>448</v>
      </c>
      <c r="B1125" t="s">
        <v>14</v>
      </c>
      <c r="C1125" s="2">
        <f>HYPERLINK("https://cao.dolgi.msk.ru/account/1050350257/", 1050350257)</f>
        <v>1050350257</v>
      </c>
      <c r="D1125" s="4">
        <v>12899.93</v>
      </c>
      <c r="E1125">
        <v>1.97</v>
      </c>
    </row>
    <row r="1126" spans="1:5" x14ac:dyDescent="0.25">
      <c r="A1126" t="s">
        <v>448</v>
      </c>
      <c r="B1126" t="s">
        <v>21</v>
      </c>
      <c r="C1126" s="2">
        <f>HYPERLINK("https://cao.dolgi.msk.ru/account/1050350353/", 1050350353)</f>
        <v>1050350353</v>
      </c>
      <c r="D1126" s="4">
        <v>18302.05</v>
      </c>
      <c r="E1126">
        <v>1.87</v>
      </c>
    </row>
    <row r="1127" spans="1:5" x14ac:dyDescent="0.25">
      <c r="A1127" t="s">
        <v>448</v>
      </c>
      <c r="B1127" t="s">
        <v>35</v>
      </c>
      <c r="C1127" s="2">
        <f>HYPERLINK("https://cao.dolgi.msk.ru/account/1050350505/", 1050350505)</f>
        <v>1050350505</v>
      </c>
      <c r="D1127" s="4">
        <v>15167.9</v>
      </c>
      <c r="E1127">
        <v>2.46</v>
      </c>
    </row>
    <row r="1128" spans="1:5" x14ac:dyDescent="0.25">
      <c r="A1128" t="s">
        <v>448</v>
      </c>
      <c r="B1128" t="s">
        <v>45</v>
      </c>
      <c r="C1128" s="2">
        <f>HYPERLINK("https://cao.dolgi.msk.ru/account/1050350636/", 1050350636)</f>
        <v>1050350636</v>
      </c>
      <c r="D1128" s="4">
        <v>57218.41</v>
      </c>
      <c r="E1128">
        <v>9.4</v>
      </c>
    </row>
    <row r="1129" spans="1:5" x14ac:dyDescent="0.25">
      <c r="A1129" t="s">
        <v>448</v>
      </c>
      <c r="B1129" t="s">
        <v>46</v>
      </c>
      <c r="C1129" s="2">
        <f>HYPERLINK("https://cao.dolgi.msk.ru/account/1050350644/", 1050350644)</f>
        <v>1050350644</v>
      </c>
      <c r="D1129" s="4">
        <v>8141.69</v>
      </c>
      <c r="E1129">
        <v>1.3</v>
      </c>
    </row>
    <row r="1130" spans="1:5" x14ac:dyDescent="0.25">
      <c r="A1130" t="s">
        <v>448</v>
      </c>
      <c r="B1130" t="s">
        <v>51</v>
      </c>
      <c r="C1130" s="2">
        <f>HYPERLINK("https://cao.dolgi.msk.ru/account/1050350724/", 1050350724)</f>
        <v>1050350724</v>
      </c>
      <c r="D1130" s="4">
        <v>22583.23</v>
      </c>
      <c r="E1130">
        <v>4.59</v>
      </c>
    </row>
    <row r="1131" spans="1:5" x14ac:dyDescent="0.25">
      <c r="A1131" t="s">
        <v>448</v>
      </c>
      <c r="B1131" t="s">
        <v>54</v>
      </c>
      <c r="C1131" s="2">
        <f>HYPERLINK("https://cao.dolgi.msk.ru/account/1050350767/", 1050350767)</f>
        <v>1050350767</v>
      </c>
      <c r="D1131" s="4">
        <v>25697.72</v>
      </c>
      <c r="E1131">
        <v>2.99</v>
      </c>
    </row>
    <row r="1132" spans="1:5" x14ac:dyDescent="0.25">
      <c r="A1132" t="s">
        <v>448</v>
      </c>
      <c r="B1132" t="s">
        <v>71</v>
      </c>
      <c r="C1132" s="2">
        <f>HYPERLINK("https://cao.dolgi.msk.ru/account/1050350978/", 1050350978)</f>
        <v>1050350978</v>
      </c>
      <c r="D1132" s="4">
        <v>13212.38</v>
      </c>
      <c r="E1132">
        <v>2.99</v>
      </c>
    </row>
    <row r="1133" spans="1:5" x14ac:dyDescent="0.25">
      <c r="A1133" t="s">
        <v>448</v>
      </c>
      <c r="B1133" t="s">
        <v>74</v>
      </c>
      <c r="C1133" s="2">
        <f>HYPERLINK("https://cao.dolgi.msk.ru/account/1050351006/", 1050351006)</f>
        <v>1050351006</v>
      </c>
      <c r="D1133" s="4">
        <v>19327.32</v>
      </c>
      <c r="E1133">
        <v>3.01</v>
      </c>
    </row>
    <row r="1134" spans="1:5" x14ac:dyDescent="0.25">
      <c r="A1134" t="s">
        <v>448</v>
      </c>
      <c r="B1134" t="s">
        <v>110</v>
      </c>
      <c r="C1134" s="2">
        <f>HYPERLINK("https://cao.dolgi.msk.ru/account/1050351372/", 1050351372)</f>
        <v>1050351372</v>
      </c>
      <c r="D1134" s="4">
        <v>21079.47</v>
      </c>
      <c r="E1134">
        <v>3.12</v>
      </c>
    </row>
    <row r="1135" spans="1:5" x14ac:dyDescent="0.25">
      <c r="A1135" t="s">
        <v>448</v>
      </c>
      <c r="B1135" t="s">
        <v>137</v>
      </c>
      <c r="C1135" s="2">
        <f>HYPERLINK("https://cao.dolgi.msk.ru/account/1050351495/", 1050351495)</f>
        <v>1050351495</v>
      </c>
      <c r="D1135" s="4">
        <v>15391.87</v>
      </c>
      <c r="E1135">
        <v>1.91</v>
      </c>
    </row>
    <row r="1136" spans="1:5" x14ac:dyDescent="0.25">
      <c r="A1136" t="s">
        <v>448</v>
      </c>
      <c r="B1136" t="s">
        <v>119</v>
      </c>
      <c r="C1136" s="2">
        <f>HYPERLINK("https://cao.dolgi.msk.ru/account/1050351516/", 1050351516)</f>
        <v>1050351516</v>
      </c>
      <c r="D1136" s="4">
        <v>10427.370000000001</v>
      </c>
      <c r="E1136">
        <v>2.93</v>
      </c>
    </row>
    <row r="1137" spans="1:5" x14ac:dyDescent="0.25">
      <c r="A1137" t="s">
        <v>448</v>
      </c>
      <c r="B1137" t="s">
        <v>143</v>
      </c>
      <c r="C1137" s="2">
        <f>HYPERLINK("https://cao.dolgi.msk.ru/account/1050351786/", 1050351786)</f>
        <v>1050351786</v>
      </c>
      <c r="D1137" s="4">
        <v>11303.47</v>
      </c>
      <c r="E1137">
        <v>1.52</v>
      </c>
    </row>
    <row r="1138" spans="1:5" x14ac:dyDescent="0.25">
      <c r="A1138" t="s">
        <v>448</v>
      </c>
      <c r="B1138" t="s">
        <v>149</v>
      </c>
      <c r="C1138" s="2">
        <f>HYPERLINK("https://cao.dolgi.msk.ru/account/1050351858/", 1050351858)</f>
        <v>1050351858</v>
      </c>
      <c r="D1138" s="4">
        <v>7707.27</v>
      </c>
      <c r="E1138">
        <v>1.19</v>
      </c>
    </row>
    <row r="1139" spans="1:5" x14ac:dyDescent="0.25">
      <c r="A1139" t="s">
        <v>448</v>
      </c>
      <c r="B1139" t="s">
        <v>155</v>
      </c>
      <c r="C1139" s="2">
        <f>HYPERLINK("https://cao.dolgi.msk.ru/account/1050351938/", 1050351938)</f>
        <v>1050351938</v>
      </c>
      <c r="D1139" s="4">
        <v>20290.599999999999</v>
      </c>
      <c r="E1139">
        <v>2.99</v>
      </c>
    </row>
    <row r="1140" spans="1:5" x14ac:dyDescent="0.25">
      <c r="A1140" t="s">
        <v>448</v>
      </c>
      <c r="B1140" t="s">
        <v>223</v>
      </c>
      <c r="C1140" s="2">
        <f>HYPERLINK("https://cao.dolgi.msk.ru/account/1050351946/", 1050351946)</f>
        <v>1050351946</v>
      </c>
      <c r="D1140" s="4">
        <v>6880.78</v>
      </c>
      <c r="E1140">
        <v>1.23</v>
      </c>
    </row>
    <row r="1141" spans="1:5" x14ac:dyDescent="0.25">
      <c r="A1141" t="s">
        <v>448</v>
      </c>
      <c r="B1141" t="s">
        <v>173</v>
      </c>
      <c r="C1141" s="2">
        <f>HYPERLINK("https://cao.dolgi.msk.ru/account/1058136554/", 1058136554)</f>
        <v>1058136554</v>
      </c>
      <c r="D1141" s="4">
        <v>8267.4</v>
      </c>
      <c r="E1141">
        <v>1.33</v>
      </c>
    </row>
    <row r="1142" spans="1:5" x14ac:dyDescent="0.25">
      <c r="A1142" t="s">
        <v>448</v>
      </c>
      <c r="B1142" t="s">
        <v>190</v>
      </c>
      <c r="C1142" s="2">
        <f>HYPERLINK("https://cao.dolgi.msk.ru/account/1050352471/", 1050352471)</f>
        <v>1050352471</v>
      </c>
      <c r="D1142" s="4">
        <v>6917</v>
      </c>
      <c r="E1142">
        <v>2.27</v>
      </c>
    </row>
    <row r="1143" spans="1:5" x14ac:dyDescent="0.25">
      <c r="A1143" t="s">
        <v>448</v>
      </c>
      <c r="B1143" t="s">
        <v>192</v>
      </c>
      <c r="C1143" s="2">
        <f>HYPERLINK("https://cao.dolgi.msk.ru/account/1050352519/", 1050352519)</f>
        <v>1050352519</v>
      </c>
      <c r="D1143" s="4">
        <v>15248.55</v>
      </c>
      <c r="E1143">
        <v>1.99</v>
      </c>
    </row>
    <row r="1144" spans="1:5" x14ac:dyDescent="0.25">
      <c r="A1144" t="s">
        <v>449</v>
      </c>
      <c r="B1144" t="s">
        <v>208</v>
      </c>
      <c r="C1144" s="2">
        <f>HYPERLINK("https://cao.dolgi.msk.ru/account/1050352869/", 1050352869)</f>
        <v>1050352869</v>
      </c>
      <c r="D1144" s="4">
        <v>6900.31</v>
      </c>
      <c r="E1144">
        <v>1.62</v>
      </c>
    </row>
    <row r="1145" spans="1:5" x14ac:dyDescent="0.25">
      <c r="A1145" t="s">
        <v>449</v>
      </c>
      <c r="B1145" t="s">
        <v>286</v>
      </c>
      <c r="C1145" s="2">
        <f>HYPERLINK("https://cao.dolgi.msk.ru/account/1050353263/", 1050353263)</f>
        <v>1050353263</v>
      </c>
      <c r="D1145" s="4">
        <v>9055.34</v>
      </c>
      <c r="E1145">
        <v>1.97</v>
      </c>
    </row>
    <row r="1146" spans="1:5" x14ac:dyDescent="0.25">
      <c r="A1146" t="s">
        <v>449</v>
      </c>
      <c r="B1146" t="s">
        <v>288</v>
      </c>
      <c r="C1146" s="2">
        <f>HYPERLINK("https://cao.dolgi.msk.ru/account/1050353319/", 1050353319)</f>
        <v>1050353319</v>
      </c>
      <c r="D1146" s="4">
        <v>17026.55</v>
      </c>
      <c r="E1146">
        <v>2</v>
      </c>
    </row>
    <row r="1147" spans="1:5" x14ac:dyDescent="0.25">
      <c r="A1147" t="s">
        <v>449</v>
      </c>
      <c r="B1147" t="s">
        <v>311</v>
      </c>
      <c r="C1147" s="2">
        <f>HYPERLINK("https://cao.dolgi.msk.ru/account/1050353503/", 1050353503)</f>
        <v>1050353503</v>
      </c>
      <c r="D1147" s="4">
        <v>5876.51</v>
      </c>
      <c r="E1147">
        <v>1.06</v>
      </c>
    </row>
    <row r="1148" spans="1:5" x14ac:dyDescent="0.25">
      <c r="A1148" t="s">
        <v>449</v>
      </c>
      <c r="B1148" t="s">
        <v>451</v>
      </c>
      <c r="C1148" s="2">
        <f>HYPERLINK("https://cao.dolgi.msk.ru/account/1050353634/", 1050353634)</f>
        <v>1050353634</v>
      </c>
      <c r="D1148" s="4">
        <v>14248.47</v>
      </c>
      <c r="E1148">
        <v>2.04</v>
      </c>
    </row>
    <row r="1149" spans="1:5" x14ac:dyDescent="0.25">
      <c r="A1149" t="s">
        <v>449</v>
      </c>
      <c r="B1149" t="s">
        <v>452</v>
      </c>
      <c r="C1149" s="2">
        <f>HYPERLINK("https://cao.dolgi.msk.ru/account/1050353669/", 1050353669)</f>
        <v>1050353669</v>
      </c>
      <c r="D1149" s="4">
        <v>9871.5</v>
      </c>
      <c r="E1149">
        <v>3.18</v>
      </c>
    </row>
    <row r="1150" spans="1:5" x14ac:dyDescent="0.25">
      <c r="A1150" t="s">
        <v>449</v>
      </c>
      <c r="B1150" t="s">
        <v>453</v>
      </c>
      <c r="C1150" s="2">
        <f>HYPERLINK("https://cao.dolgi.msk.ru/account/1050353677/", 1050353677)</f>
        <v>1050353677</v>
      </c>
      <c r="D1150" s="4">
        <v>8839.9</v>
      </c>
      <c r="E1150">
        <v>1.94</v>
      </c>
    </row>
    <row r="1151" spans="1:5" x14ac:dyDescent="0.25">
      <c r="A1151" t="s">
        <v>455</v>
      </c>
      <c r="B1151" t="s">
        <v>9</v>
      </c>
      <c r="C1151" s="2">
        <f>HYPERLINK("https://cao.dolgi.msk.ru/account/1050312461/", 1050312461)</f>
        <v>1050312461</v>
      </c>
      <c r="D1151" s="4">
        <v>12610.29</v>
      </c>
      <c r="E1151">
        <v>1.81</v>
      </c>
    </row>
    <row r="1152" spans="1:5" x14ac:dyDescent="0.25">
      <c r="A1152" t="s">
        <v>455</v>
      </c>
      <c r="B1152" t="s">
        <v>29</v>
      </c>
      <c r="C1152" s="2">
        <f>HYPERLINK("https://cao.dolgi.msk.ru/account/1050312816/", 1050312816)</f>
        <v>1050312816</v>
      </c>
      <c r="D1152" s="4">
        <v>8032.41</v>
      </c>
      <c r="E1152">
        <v>2.16</v>
      </c>
    </row>
    <row r="1153" spans="1:5" x14ac:dyDescent="0.25">
      <c r="A1153" t="s">
        <v>455</v>
      </c>
      <c r="B1153" t="s">
        <v>33</v>
      </c>
      <c r="C1153" s="2">
        <f>HYPERLINK("https://cao.dolgi.msk.ru/account/1050312867/", 1050312867)</f>
        <v>1050312867</v>
      </c>
      <c r="D1153" s="4">
        <v>13680.65</v>
      </c>
      <c r="E1153">
        <v>1.34</v>
      </c>
    </row>
    <row r="1154" spans="1:5" x14ac:dyDescent="0.25">
      <c r="A1154" t="s">
        <v>455</v>
      </c>
      <c r="B1154" t="s">
        <v>46</v>
      </c>
      <c r="C1154" s="2">
        <f>HYPERLINK("https://cao.dolgi.msk.ru/account/1050313106/", 1050313106)</f>
        <v>1050313106</v>
      </c>
      <c r="D1154" s="4">
        <v>291652.03000000003</v>
      </c>
      <c r="E1154">
        <v>27.85</v>
      </c>
    </row>
    <row r="1155" spans="1:5" x14ac:dyDescent="0.25">
      <c r="A1155" t="s">
        <v>455</v>
      </c>
      <c r="B1155" t="s">
        <v>49</v>
      </c>
      <c r="C1155" s="2">
        <f>HYPERLINK("https://cao.dolgi.msk.ru/account/1059017688/", 1059017688)</f>
        <v>1059017688</v>
      </c>
      <c r="D1155" s="4">
        <v>59076.07</v>
      </c>
      <c r="E1155">
        <v>1.96</v>
      </c>
    </row>
    <row r="1156" spans="1:5" x14ac:dyDescent="0.25">
      <c r="A1156" t="s">
        <v>456</v>
      </c>
      <c r="B1156" t="s">
        <v>37</v>
      </c>
      <c r="C1156" s="2">
        <f>HYPERLINK("https://cao.dolgi.msk.ru/account/1058150022/", 1058150022)</f>
        <v>1058150022</v>
      </c>
      <c r="D1156" s="4">
        <v>353952.43</v>
      </c>
      <c r="E1156">
        <v>31.74</v>
      </c>
    </row>
    <row r="1157" spans="1:5" x14ac:dyDescent="0.25">
      <c r="A1157" t="s">
        <v>456</v>
      </c>
      <c r="B1157" t="s">
        <v>43</v>
      </c>
      <c r="C1157" s="2">
        <f>HYPERLINK("https://cao.dolgi.msk.ru/account/1050332438/", 1050332438)</f>
        <v>1050332438</v>
      </c>
      <c r="D1157" s="4">
        <v>18040.2</v>
      </c>
      <c r="E1157">
        <v>1.94</v>
      </c>
    </row>
    <row r="1158" spans="1:5" x14ac:dyDescent="0.25">
      <c r="A1158" t="s">
        <v>456</v>
      </c>
      <c r="B1158" t="s">
        <v>46</v>
      </c>
      <c r="C1158" s="2">
        <f>HYPERLINK("https://cao.dolgi.msk.ru/account/1050332614/", 1050332614)</f>
        <v>1050332614</v>
      </c>
      <c r="D1158" s="4">
        <v>306434.56</v>
      </c>
      <c r="E1158">
        <v>25.35</v>
      </c>
    </row>
    <row r="1159" spans="1:5" x14ac:dyDescent="0.25">
      <c r="A1159" t="s">
        <v>456</v>
      </c>
      <c r="B1159" t="s">
        <v>47</v>
      </c>
      <c r="C1159" s="2">
        <f>HYPERLINK("https://cao.dolgi.msk.ru/account/1058134129/", 1058134129)</f>
        <v>1058134129</v>
      </c>
      <c r="D1159" s="4">
        <v>10083.51</v>
      </c>
      <c r="E1159">
        <v>1.03</v>
      </c>
    </row>
    <row r="1160" spans="1:5" x14ac:dyDescent="0.25">
      <c r="A1160" t="s">
        <v>457</v>
      </c>
      <c r="B1160" t="s">
        <v>33</v>
      </c>
      <c r="C1160" s="2">
        <f>HYPERLINK("https://cao.dolgi.msk.ru/account/1059016896/", 1059016896)</f>
        <v>1059016896</v>
      </c>
      <c r="D1160" s="4">
        <v>6511.26</v>
      </c>
      <c r="E1160">
        <v>1.01</v>
      </c>
    </row>
    <row r="1161" spans="1:5" x14ac:dyDescent="0.25">
      <c r="A1161" t="s">
        <v>458</v>
      </c>
      <c r="B1161" t="s">
        <v>30</v>
      </c>
      <c r="C1161" s="2">
        <f>HYPERLINK("https://cao.dolgi.msk.ru/account/1050371867/", 1050371867)</f>
        <v>1050371867</v>
      </c>
      <c r="D1161" s="4">
        <v>15167.88</v>
      </c>
      <c r="E1161">
        <v>5.01</v>
      </c>
    </row>
    <row r="1162" spans="1:5" x14ac:dyDescent="0.25">
      <c r="A1162" t="s">
        <v>458</v>
      </c>
      <c r="B1162" t="s">
        <v>32</v>
      </c>
      <c r="C1162" s="2">
        <f>HYPERLINK("https://cao.dolgi.msk.ru/account/1050371883/", 1050371883)</f>
        <v>1050371883</v>
      </c>
      <c r="D1162" s="4">
        <v>17578.09</v>
      </c>
      <c r="E1162">
        <v>5.4</v>
      </c>
    </row>
    <row r="1163" spans="1:5" x14ac:dyDescent="0.25">
      <c r="A1163" t="s">
        <v>458</v>
      </c>
      <c r="B1163" t="s">
        <v>33</v>
      </c>
      <c r="C1163" s="2">
        <f>HYPERLINK("https://cao.dolgi.msk.ru/account/1050371891/", 1050371891)</f>
        <v>1050371891</v>
      </c>
      <c r="D1163" s="4">
        <v>38507.1</v>
      </c>
      <c r="E1163">
        <v>8.49</v>
      </c>
    </row>
    <row r="1164" spans="1:5" x14ac:dyDescent="0.25">
      <c r="A1164" t="s">
        <v>458</v>
      </c>
      <c r="B1164" t="s">
        <v>95</v>
      </c>
      <c r="C1164" s="2">
        <f>HYPERLINK("https://cao.dolgi.msk.ru/account/1050372093/", 1050372093)</f>
        <v>1050372093</v>
      </c>
      <c r="D1164" s="4">
        <v>90296.34</v>
      </c>
      <c r="E1164">
        <v>7.93</v>
      </c>
    </row>
    <row r="1165" spans="1:5" x14ac:dyDescent="0.25">
      <c r="A1165" t="s">
        <v>458</v>
      </c>
      <c r="B1165" t="s">
        <v>52</v>
      </c>
      <c r="C1165" s="2">
        <f>HYPERLINK("https://cao.dolgi.msk.ru/account/1050372157/", 1050372157)</f>
        <v>1050372157</v>
      </c>
      <c r="D1165" s="4">
        <v>80369.72</v>
      </c>
      <c r="E1165">
        <v>15.45</v>
      </c>
    </row>
    <row r="1166" spans="1:5" x14ac:dyDescent="0.25">
      <c r="A1166" t="s">
        <v>458</v>
      </c>
      <c r="B1166" t="s">
        <v>56</v>
      </c>
      <c r="C1166" s="2">
        <f>HYPERLINK("https://cao.dolgi.msk.ru/account/1058123657/", 1058123657)</f>
        <v>1058123657</v>
      </c>
      <c r="D1166" s="4">
        <v>34823.68</v>
      </c>
      <c r="E1166">
        <v>7.07</v>
      </c>
    </row>
    <row r="1167" spans="1:5" x14ac:dyDescent="0.25">
      <c r="A1167" t="s">
        <v>458</v>
      </c>
      <c r="B1167" t="s">
        <v>66</v>
      </c>
      <c r="C1167" s="2">
        <f>HYPERLINK("https://cao.dolgi.msk.ru/account/1058138103/", 1058138103)</f>
        <v>1058138103</v>
      </c>
      <c r="D1167" s="4">
        <v>8325.14</v>
      </c>
      <c r="E1167">
        <v>2.13</v>
      </c>
    </row>
    <row r="1168" spans="1:5" x14ac:dyDescent="0.25">
      <c r="A1168" t="s">
        <v>458</v>
      </c>
      <c r="B1168" t="s">
        <v>101</v>
      </c>
      <c r="C1168" s="2">
        <f>HYPERLINK("https://cao.dolgi.msk.ru/account/1050372691/", 1050372691)</f>
        <v>1050372691</v>
      </c>
      <c r="D1168" s="4">
        <v>122301.75999999999</v>
      </c>
      <c r="E1168">
        <v>16.45</v>
      </c>
    </row>
    <row r="1169" spans="1:5" x14ac:dyDescent="0.25">
      <c r="A1169" t="s">
        <v>458</v>
      </c>
      <c r="B1169" t="s">
        <v>111</v>
      </c>
      <c r="C1169" s="2">
        <f>HYPERLINK("https://cao.dolgi.msk.ru/account/1050372819/", 1050372819)</f>
        <v>1050372819</v>
      </c>
      <c r="D1169" s="4">
        <v>12269.11</v>
      </c>
      <c r="E1169">
        <v>1.96</v>
      </c>
    </row>
    <row r="1170" spans="1:5" x14ac:dyDescent="0.25">
      <c r="A1170" t="s">
        <v>459</v>
      </c>
      <c r="B1170" t="s">
        <v>12</v>
      </c>
      <c r="C1170" s="2">
        <f>HYPERLINK("https://cao.dolgi.msk.ru/account/1050624596/", 1050624596)</f>
        <v>1050624596</v>
      </c>
      <c r="D1170" s="4">
        <v>10989.88</v>
      </c>
      <c r="E1170">
        <v>2.2999999999999998</v>
      </c>
    </row>
    <row r="1171" spans="1:5" x14ac:dyDescent="0.25">
      <c r="A1171" t="s">
        <v>459</v>
      </c>
      <c r="B1171" t="s">
        <v>55</v>
      </c>
      <c r="C1171" s="2">
        <f>HYPERLINK("https://cao.dolgi.msk.ru/account/1050625134/", 1050625134)</f>
        <v>1050625134</v>
      </c>
      <c r="D1171" s="4">
        <v>13629.12</v>
      </c>
      <c r="E1171">
        <v>3</v>
      </c>
    </row>
    <row r="1172" spans="1:5" x14ac:dyDescent="0.25">
      <c r="A1172" t="s">
        <v>460</v>
      </c>
      <c r="B1172" t="s">
        <v>6</v>
      </c>
      <c r="C1172" s="2">
        <f>HYPERLINK("https://cao.dolgi.msk.ru/account/1054500021/", 1054500021)</f>
        <v>1054500021</v>
      </c>
      <c r="D1172" s="4">
        <v>6956.5</v>
      </c>
      <c r="E1172">
        <v>1.87</v>
      </c>
    </row>
    <row r="1173" spans="1:5" x14ac:dyDescent="0.25">
      <c r="A1173" t="s">
        <v>460</v>
      </c>
      <c r="B1173" t="s">
        <v>18</v>
      </c>
      <c r="C1173" s="2">
        <f>HYPERLINK("https://cao.dolgi.msk.ru/account/1058123331/", 1058123331)</f>
        <v>1058123331</v>
      </c>
      <c r="D1173" s="4">
        <v>102155.39</v>
      </c>
      <c r="E1173">
        <v>28.35</v>
      </c>
    </row>
    <row r="1174" spans="1:5" x14ac:dyDescent="0.25">
      <c r="A1174" t="s">
        <v>460</v>
      </c>
      <c r="B1174" t="s">
        <v>93</v>
      </c>
      <c r="C1174" s="2">
        <f>HYPERLINK("https://cao.dolgi.msk.ru/account/1050627658/", 1050627658)</f>
        <v>1050627658</v>
      </c>
      <c r="D1174" s="4">
        <v>10157.040000000001</v>
      </c>
      <c r="E1174">
        <v>1.1499999999999999</v>
      </c>
    </row>
    <row r="1175" spans="1:5" x14ac:dyDescent="0.25">
      <c r="A1175" t="s">
        <v>460</v>
      </c>
      <c r="B1175" t="s">
        <v>37</v>
      </c>
      <c r="C1175" s="2">
        <f>HYPERLINK("https://cao.dolgi.msk.ru/account/1050627885/", 1050627885)</f>
        <v>1050627885</v>
      </c>
      <c r="D1175" s="4">
        <v>10303.459999999999</v>
      </c>
      <c r="E1175">
        <v>1.85</v>
      </c>
    </row>
    <row r="1176" spans="1:5" x14ac:dyDescent="0.25">
      <c r="A1176" t="s">
        <v>460</v>
      </c>
      <c r="B1176" t="s">
        <v>62</v>
      </c>
      <c r="C1176" s="2">
        <f>HYPERLINK("https://cao.dolgi.msk.ru/account/1050628204/", 1050628204)</f>
        <v>1050628204</v>
      </c>
      <c r="D1176" s="4">
        <v>45859.519999999997</v>
      </c>
      <c r="E1176">
        <v>23.89</v>
      </c>
    </row>
    <row r="1177" spans="1:5" x14ac:dyDescent="0.25">
      <c r="A1177" t="s">
        <v>461</v>
      </c>
      <c r="B1177" t="s">
        <v>7</v>
      </c>
      <c r="C1177" s="2">
        <f>HYPERLINK("https://cao.dolgi.msk.ru/account/1050631251/", 1050631251)</f>
        <v>1050631251</v>
      </c>
      <c r="D1177" s="4">
        <v>6065.9</v>
      </c>
      <c r="E1177">
        <v>1.76</v>
      </c>
    </row>
    <row r="1178" spans="1:5" x14ac:dyDescent="0.25">
      <c r="A1178" t="s">
        <v>461</v>
      </c>
      <c r="B1178" t="s">
        <v>15</v>
      </c>
      <c r="C1178" s="2">
        <f>HYPERLINK("https://cao.dolgi.msk.ru/account/1050631358/", 1050631358)</f>
        <v>1050631358</v>
      </c>
      <c r="D1178" s="4">
        <v>9411.5499999999993</v>
      </c>
      <c r="E1178">
        <v>2.29</v>
      </c>
    </row>
    <row r="1179" spans="1:5" x14ac:dyDescent="0.25">
      <c r="A1179" t="s">
        <v>461</v>
      </c>
      <c r="B1179" t="s">
        <v>16</v>
      </c>
      <c r="C1179" s="2">
        <f>HYPERLINK("https://cao.dolgi.msk.ru/account/1050631366/", 1050631366)</f>
        <v>1050631366</v>
      </c>
      <c r="D1179" s="4">
        <v>6112.68</v>
      </c>
      <c r="E1179">
        <v>1.01</v>
      </c>
    </row>
    <row r="1180" spans="1:5" x14ac:dyDescent="0.25">
      <c r="A1180" t="s">
        <v>461</v>
      </c>
      <c r="B1180" t="s">
        <v>19</v>
      </c>
      <c r="C1180" s="2">
        <f>HYPERLINK("https://cao.dolgi.msk.ru/account/1050631411/", 1050631411)</f>
        <v>1050631411</v>
      </c>
      <c r="D1180" s="4">
        <v>9517.5499999999993</v>
      </c>
      <c r="E1180">
        <v>1.6</v>
      </c>
    </row>
    <row r="1181" spans="1:5" x14ac:dyDescent="0.25">
      <c r="A1181" t="s">
        <v>461</v>
      </c>
      <c r="B1181" t="s">
        <v>35</v>
      </c>
      <c r="C1181" s="2">
        <f>HYPERLINK("https://cao.dolgi.msk.ru/account/1050631606/", 1050631606)</f>
        <v>1050631606</v>
      </c>
      <c r="D1181" s="4">
        <v>8674.19</v>
      </c>
      <c r="E1181">
        <v>2.13</v>
      </c>
    </row>
    <row r="1182" spans="1:5" x14ac:dyDescent="0.25">
      <c r="A1182" t="s">
        <v>461</v>
      </c>
      <c r="B1182" t="s">
        <v>38</v>
      </c>
      <c r="C1182" s="2">
        <f>HYPERLINK("https://cao.dolgi.msk.ru/account/1050631649/", 1050631649)</f>
        <v>1050631649</v>
      </c>
      <c r="D1182" s="4">
        <v>10569.38</v>
      </c>
      <c r="E1182">
        <v>2.42</v>
      </c>
    </row>
    <row r="1183" spans="1:5" x14ac:dyDescent="0.25">
      <c r="A1183" t="s">
        <v>461</v>
      </c>
      <c r="B1183" t="s">
        <v>45</v>
      </c>
      <c r="C1183" s="2">
        <f>HYPERLINK("https://cao.dolgi.msk.ru/account/1050631737/", 1050631737)</f>
        <v>1050631737</v>
      </c>
      <c r="D1183" s="4">
        <v>162533.76000000001</v>
      </c>
      <c r="E1183">
        <v>27.78</v>
      </c>
    </row>
    <row r="1184" spans="1:5" x14ac:dyDescent="0.25">
      <c r="A1184" t="s">
        <v>461</v>
      </c>
      <c r="B1184" t="s">
        <v>51</v>
      </c>
      <c r="C1184" s="2">
        <f>HYPERLINK("https://cao.dolgi.msk.ru/account/1050631825/", 1050631825)</f>
        <v>1050631825</v>
      </c>
      <c r="D1184" s="4">
        <v>6499.72</v>
      </c>
      <c r="E1184">
        <v>2.08</v>
      </c>
    </row>
    <row r="1185" spans="1:5" x14ac:dyDescent="0.25">
      <c r="A1185" t="s">
        <v>461</v>
      </c>
      <c r="B1185" t="s">
        <v>85</v>
      </c>
      <c r="C1185" s="2">
        <f>HYPERLINK("https://cao.dolgi.msk.ru/account/1050632246/", 1050632246)</f>
        <v>1050632246</v>
      </c>
      <c r="D1185" s="4">
        <v>13364.43</v>
      </c>
      <c r="E1185">
        <v>4.79</v>
      </c>
    </row>
    <row r="1186" spans="1:5" x14ac:dyDescent="0.25">
      <c r="A1186" t="s">
        <v>461</v>
      </c>
      <c r="B1186" t="s">
        <v>96</v>
      </c>
      <c r="C1186" s="2">
        <f>HYPERLINK("https://cao.dolgi.msk.ru/account/1050632334/", 1050632334)</f>
        <v>1050632334</v>
      </c>
      <c r="D1186" s="4">
        <v>16413.64</v>
      </c>
      <c r="E1186">
        <v>3.97</v>
      </c>
    </row>
    <row r="1187" spans="1:5" x14ac:dyDescent="0.25">
      <c r="A1187" t="s">
        <v>461</v>
      </c>
      <c r="B1187" t="s">
        <v>125</v>
      </c>
      <c r="C1187" s="2">
        <f>HYPERLINK("https://cao.dolgi.msk.ru/account/1050632705/", 1050632705)</f>
        <v>1050632705</v>
      </c>
      <c r="D1187" s="4">
        <v>19434.72</v>
      </c>
      <c r="E1187">
        <v>2.99</v>
      </c>
    </row>
    <row r="1188" spans="1:5" x14ac:dyDescent="0.25">
      <c r="A1188" t="s">
        <v>461</v>
      </c>
      <c r="B1188" t="s">
        <v>134</v>
      </c>
      <c r="C1188" s="2">
        <f>HYPERLINK("https://cao.dolgi.msk.ru/account/1050632828/", 1050632828)</f>
        <v>1050632828</v>
      </c>
      <c r="D1188" s="4">
        <v>8270.7999999999993</v>
      </c>
      <c r="E1188">
        <v>2.56</v>
      </c>
    </row>
    <row r="1189" spans="1:5" x14ac:dyDescent="0.25">
      <c r="A1189" t="s">
        <v>462</v>
      </c>
      <c r="B1189" t="s">
        <v>52</v>
      </c>
      <c r="C1189" s="2">
        <f>HYPERLINK("https://cao.dolgi.msk.ru/account/1050492124/", 1050492124)</f>
        <v>1050492124</v>
      </c>
      <c r="D1189" s="4">
        <v>9490.1299999999992</v>
      </c>
      <c r="E1189">
        <v>2.99</v>
      </c>
    </row>
    <row r="1190" spans="1:5" x14ac:dyDescent="0.25">
      <c r="A1190" t="s">
        <v>462</v>
      </c>
      <c r="B1190" t="s">
        <v>57</v>
      </c>
      <c r="C1190" s="2">
        <f>HYPERLINK("https://cao.dolgi.msk.ru/account/1050492183/", 1050492183)</f>
        <v>1050492183</v>
      </c>
      <c r="D1190" s="4">
        <v>5363.57</v>
      </c>
      <c r="E1190">
        <v>1.97</v>
      </c>
    </row>
    <row r="1191" spans="1:5" x14ac:dyDescent="0.25">
      <c r="A1191" t="s">
        <v>462</v>
      </c>
      <c r="B1191" t="s">
        <v>65</v>
      </c>
      <c r="C1191" s="2">
        <f>HYPERLINK("https://cao.dolgi.msk.ru/account/1058025352/", 1058025352)</f>
        <v>1058025352</v>
      </c>
      <c r="D1191" s="4">
        <v>21876.29</v>
      </c>
      <c r="E1191">
        <v>4.66</v>
      </c>
    </row>
    <row r="1192" spans="1:5" x14ac:dyDescent="0.25">
      <c r="A1192" t="s">
        <v>462</v>
      </c>
      <c r="B1192" t="s">
        <v>86</v>
      </c>
      <c r="C1192" s="2">
        <f>HYPERLINK("https://cao.dolgi.msk.ru/account/1050492589/", 1050492589)</f>
        <v>1050492589</v>
      </c>
      <c r="D1192" s="4">
        <v>180226.77</v>
      </c>
      <c r="E1192">
        <v>24.91</v>
      </c>
    </row>
    <row r="1193" spans="1:5" x14ac:dyDescent="0.25">
      <c r="A1193" t="s">
        <v>462</v>
      </c>
      <c r="B1193" t="s">
        <v>101</v>
      </c>
      <c r="C1193" s="2">
        <f>HYPERLINK("https://cao.dolgi.msk.ru/account/1050492714/", 1050492714)</f>
        <v>1050492714</v>
      </c>
      <c r="D1193" s="4">
        <v>5857.56</v>
      </c>
      <c r="E1193">
        <v>2</v>
      </c>
    </row>
    <row r="1194" spans="1:5" x14ac:dyDescent="0.25">
      <c r="A1194" t="s">
        <v>462</v>
      </c>
      <c r="B1194" t="s">
        <v>107</v>
      </c>
      <c r="C1194" s="2">
        <f>HYPERLINK("https://cao.dolgi.msk.ru/account/1050492773/", 1050492773)</f>
        <v>1050492773</v>
      </c>
      <c r="D1194" s="4">
        <v>9766.58</v>
      </c>
      <c r="E1194">
        <v>1.99</v>
      </c>
    </row>
    <row r="1195" spans="1:5" x14ac:dyDescent="0.25">
      <c r="A1195" t="s">
        <v>462</v>
      </c>
      <c r="B1195" t="s">
        <v>108</v>
      </c>
      <c r="C1195" s="2">
        <f>HYPERLINK("https://cao.dolgi.msk.ru/account/1058095983/", 1058095983)</f>
        <v>1058095983</v>
      </c>
      <c r="D1195" s="4">
        <v>7587.65</v>
      </c>
      <c r="E1195">
        <v>2</v>
      </c>
    </row>
    <row r="1196" spans="1:5" x14ac:dyDescent="0.25">
      <c r="A1196" t="s">
        <v>463</v>
      </c>
      <c r="B1196" t="s">
        <v>16</v>
      </c>
      <c r="C1196" s="2">
        <f>HYPERLINK("https://cao.dolgi.msk.ru/account/1058120851/", 1058120851)</f>
        <v>1058120851</v>
      </c>
      <c r="D1196" s="4">
        <v>61220.43</v>
      </c>
      <c r="E1196">
        <v>10.36</v>
      </c>
    </row>
    <row r="1197" spans="1:5" x14ac:dyDescent="0.25">
      <c r="A1197" t="s">
        <v>463</v>
      </c>
      <c r="B1197" t="s">
        <v>37</v>
      </c>
      <c r="C1197" s="2">
        <f>HYPERLINK("https://cao.dolgi.msk.ru/account/1050491914/", 1050491914)</f>
        <v>1050491914</v>
      </c>
      <c r="D1197" s="4">
        <v>8793.2000000000007</v>
      </c>
      <c r="E1197">
        <v>2.85</v>
      </c>
    </row>
    <row r="1198" spans="1:5" x14ac:dyDescent="0.25">
      <c r="A1198" t="s">
        <v>463</v>
      </c>
      <c r="B1198" t="s">
        <v>40</v>
      </c>
      <c r="C1198" s="2">
        <f>HYPERLINK("https://cao.dolgi.msk.ru/account/1050491957/", 1050491957)</f>
        <v>1050491957</v>
      </c>
      <c r="D1198" s="4">
        <v>246261.75</v>
      </c>
      <c r="E1198">
        <v>64.67</v>
      </c>
    </row>
    <row r="1199" spans="1:5" x14ac:dyDescent="0.25">
      <c r="A1199" t="s">
        <v>463</v>
      </c>
      <c r="B1199" t="s">
        <v>44</v>
      </c>
      <c r="C1199" s="2">
        <f>HYPERLINK("https://cao.dolgi.msk.ru/account/1050492001/", 1050492001)</f>
        <v>1050492001</v>
      </c>
      <c r="D1199" s="4">
        <v>40702.31</v>
      </c>
      <c r="E1199">
        <v>8.7799999999999994</v>
      </c>
    </row>
    <row r="1200" spans="1:5" x14ac:dyDescent="0.25">
      <c r="A1200" t="s">
        <v>464</v>
      </c>
      <c r="B1200" t="s">
        <v>9</v>
      </c>
      <c r="C1200" s="2">
        <f>HYPERLINK("https://cao.dolgi.msk.ru/account/1050492853/", 1050492853)</f>
        <v>1050492853</v>
      </c>
      <c r="D1200" s="4">
        <v>12771.5</v>
      </c>
      <c r="E1200">
        <v>2</v>
      </c>
    </row>
    <row r="1201" spans="1:5" x14ac:dyDescent="0.25">
      <c r="A1201" t="s">
        <v>464</v>
      </c>
      <c r="B1201" t="s">
        <v>10</v>
      </c>
      <c r="C1201" s="2">
        <f>HYPERLINK("https://cao.dolgi.msk.ru/account/1058150604/", 1058150604)</f>
        <v>1058150604</v>
      </c>
      <c r="D1201" s="4">
        <v>118401.69</v>
      </c>
      <c r="E1201">
        <v>16.420000000000002</v>
      </c>
    </row>
    <row r="1202" spans="1:5" x14ac:dyDescent="0.25">
      <c r="A1202" t="s">
        <v>464</v>
      </c>
      <c r="B1202" t="s">
        <v>26</v>
      </c>
      <c r="C1202" s="2">
        <f>HYPERLINK("https://cao.dolgi.msk.ru/account/1050493135/", 1050493135)</f>
        <v>1050493135</v>
      </c>
      <c r="D1202" s="4">
        <v>45893.66</v>
      </c>
      <c r="E1202">
        <v>5</v>
      </c>
    </row>
    <row r="1203" spans="1:5" x14ac:dyDescent="0.25">
      <c r="A1203" t="s">
        <v>464</v>
      </c>
      <c r="B1203" t="s">
        <v>28</v>
      </c>
      <c r="C1203" s="2">
        <f>HYPERLINK("https://cao.dolgi.msk.ru/account/1050493194/", 1050493194)</f>
        <v>1050493194</v>
      </c>
      <c r="D1203" s="4">
        <v>11483</v>
      </c>
      <c r="E1203">
        <v>2.59</v>
      </c>
    </row>
    <row r="1204" spans="1:5" x14ac:dyDescent="0.25">
      <c r="A1204" t="s">
        <v>464</v>
      </c>
      <c r="B1204" t="s">
        <v>40</v>
      </c>
      <c r="C1204" s="2">
        <f>HYPERLINK("https://cao.dolgi.msk.ru/account/1050493522/", 1050493522)</f>
        <v>1050493522</v>
      </c>
      <c r="D1204" s="4">
        <v>11849.56</v>
      </c>
      <c r="E1204">
        <v>2</v>
      </c>
    </row>
    <row r="1205" spans="1:5" x14ac:dyDescent="0.25">
      <c r="A1205" t="s">
        <v>465</v>
      </c>
      <c r="B1205" t="s">
        <v>9</v>
      </c>
      <c r="C1205" s="2">
        <f>HYPERLINK("https://cao.dolgi.msk.ru/account/1050493768/", 1050493768)</f>
        <v>1050493768</v>
      </c>
      <c r="D1205" s="4">
        <v>9267.85</v>
      </c>
      <c r="E1205">
        <v>2</v>
      </c>
    </row>
    <row r="1206" spans="1:5" x14ac:dyDescent="0.25">
      <c r="A1206" t="s">
        <v>465</v>
      </c>
      <c r="B1206" t="s">
        <v>22</v>
      </c>
      <c r="C1206" s="2">
        <f>HYPERLINK("https://cao.dolgi.msk.ru/account/1050493936/", 1050493936)</f>
        <v>1050493936</v>
      </c>
      <c r="D1206" s="4">
        <v>17424.05</v>
      </c>
      <c r="E1206">
        <v>5.96</v>
      </c>
    </row>
    <row r="1207" spans="1:5" x14ac:dyDescent="0.25">
      <c r="A1207" t="s">
        <v>465</v>
      </c>
      <c r="B1207" t="s">
        <v>26</v>
      </c>
      <c r="C1207" s="2">
        <f>HYPERLINK("https://cao.dolgi.msk.ru/account/1050493979/", 1050493979)</f>
        <v>1050493979</v>
      </c>
      <c r="D1207" s="4">
        <v>107287.88</v>
      </c>
      <c r="E1207">
        <v>14.56</v>
      </c>
    </row>
    <row r="1208" spans="1:5" x14ac:dyDescent="0.25">
      <c r="A1208" t="s">
        <v>465</v>
      </c>
      <c r="B1208" t="s">
        <v>31</v>
      </c>
      <c r="C1208" s="2">
        <f>HYPERLINK("https://cao.dolgi.msk.ru/account/1050494023/", 1050494023)</f>
        <v>1050494023</v>
      </c>
      <c r="D1208" s="4">
        <v>36187.79</v>
      </c>
      <c r="E1208">
        <v>6.94</v>
      </c>
    </row>
    <row r="1209" spans="1:5" x14ac:dyDescent="0.25">
      <c r="A1209" t="s">
        <v>465</v>
      </c>
      <c r="B1209" t="s">
        <v>42</v>
      </c>
      <c r="C1209" s="2">
        <f>HYPERLINK("https://cao.dolgi.msk.ru/account/1058090912/", 1058090912)</f>
        <v>1058090912</v>
      </c>
      <c r="D1209" s="4">
        <v>64412.58</v>
      </c>
      <c r="E1209">
        <v>6.26</v>
      </c>
    </row>
    <row r="1210" spans="1:5" x14ac:dyDescent="0.25">
      <c r="A1210" t="s">
        <v>465</v>
      </c>
      <c r="B1210" t="s">
        <v>48</v>
      </c>
      <c r="C1210" s="2">
        <f>HYPERLINK("https://cao.dolgi.msk.ru/account/1050494277/", 1050494277)</f>
        <v>1050494277</v>
      </c>
      <c r="D1210" s="4">
        <v>13469.57</v>
      </c>
      <c r="E1210">
        <v>1.88</v>
      </c>
    </row>
    <row r="1211" spans="1:5" x14ac:dyDescent="0.25">
      <c r="A1211" t="s">
        <v>466</v>
      </c>
      <c r="B1211" t="s">
        <v>27</v>
      </c>
      <c r="C1211" s="2">
        <f>HYPERLINK("https://cao.dolgi.msk.ru/account/1050483746/", 1050483746)</f>
        <v>1050483746</v>
      </c>
      <c r="D1211" s="4">
        <v>5382.57</v>
      </c>
      <c r="E1211">
        <v>1.02</v>
      </c>
    </row>
    <row r="1212" spans="1:5" x14ac:dyDescent="0.25">
      <c r="A1212" t="s">
        <v>466</v>
      </c>
      <c r="B1212" t="s">
        <v>48</v>
      </c>
      <c r="C1212" s="2">
        <f>HYPERLINK("https://cao.dolgi.msk.ru/account/1050484036/", 1050484036)</f>
        <v>1050484036</v>
      </c>
      <c r="D1212" s="4">
        <v>13991.36</v>
      </c>
      <c r="E1212">
        <v>3.03</v>
      </c>
    </row>
    <row r="1213" spans="1:5" x14ac:dyDescent="0.25">
      <c r="A1213" t="s">
        <v>466</v>
      </c>
      <c r="B1213" t="s">
        <v>60</v>
      </c>
      <c r="C1213" s="2">
        <f>HYPERLINK("https://cao.dolgi.msk.ru/account/1050484175/", 1050484175)</f>
        <v>1050484175</v>
      </c>
      <c r="D1213" s="4">
        <v>13399.31</v>
      </c>
      <c r="E1213">
        <v>2.86</v>
      </c>
    </row>
    <row r="1214" spans="1:5" x14ac:dyDescent="0.25">
      <c r="A1214" t="s">
        <v>466</v>
      </c>
      <c r="B1214" t="s">
        <v>65</v>
      </c>
      <c r="C1214" s="2">
        <f>HYPERLINK("https://cao.dolgi.msk.ru/account/1050484239/", 1050484239)</f>
        <v>1050484239</v>
      </c>
      <c r="D1214" s="4">
        <v>41322</v>
      </c>
      <c r="E1214">
        <v>8.0500000000000007</v>
      </c>
    </row>
    <row r="1215" spans="1:5" x14ac:dyDescent="0.25">
      <c r="A1215" t="s">
        <v>467</v>
      </c>
      <c r="B1215" t="s">
        <v>93</v>
      </c>
      <c r="C1215" s="2">
        <f>HYPERLINK("https://cao.dolgi.msk.ru/account/1050471657/", 1050471657)</f>
        <v>1050471657</v>
      </c>
      <c r="D1215" s="4">
        <v>7130.69</v>
      </c>
      <c r="E1215">
        <v>1.04</v>
      </c>
    </row>
    <row r="1216" spans="1:5" x14ac:dyDescent="0.25">
      <c r="A1216" t="s">
        <v>467</v>
      </c>
      <c r="B1216" t="s">
        <v>29</v>
      </c>
      <c r="C1216" s="2">
        <f>HYPERLINK("https://cao.dolgi.msk.ru/account/1050471833/", 1050471833)</f>
        <v>1050471833</v>
      </c>
      <c r="D1216" s="4">
        <v>25590.99</v>
      </c>
      <c r="E1216">
        <v>4.2</v>
      </c>
    </row>
    <row r="1217" spans="1:5" x14ac:dyDescent="0.25">
      <c r="A1217" t="s">
        <v>467</v>
      </c>
      <c r="B1217" t="s">
        <v>46</v>
      </c>
      <c r="C1217" s="2">
        <f>HYPERLINK("https://cao.dolgi.msk.ru/account/1050472115/", 1050472115)</f>
        <v>1050472115</v>
      </c>
      <c r="D1217" s="4">
        <v>9912.4599999999991</v>
      </c>
      <c r="E1217">
        <v>1.78</v>
      </c>
    </row>
    <row r="1218" spans="1:5" x14ac:dyDescent="0.25">
      <c r="A1218" t="s">
        <v>468</v>
      </c>
      <c r="B1218" t="s">
        <v>17</v>
      </c>
      <c r="C1218" s="2">
        <f>HYPERLINK("https://cao.dolgi.msk.ru/account/1050476191/", 1050476191)</f>
        <v>1050476191</v>
      </c>
      <c r="D1218" s="4">
        <v>10278.299999999999</v>
      </c>
      <c r="E1218">
        <v>2.85</v>
      </c>
    </row>
    <row r="1219" spans="1:5" x14ac:dyDescent="0.25">
      <c r="A1219" t="s">
        <v>468</v>
      </c>
      <c r="B1219" t="s">
        <v>23</v>
      </c>
      <c r="C1219" s="2">
        <f>HYPERLINK("https://cao.dolgi.msk.ru/account/1050476335/", 1050476335)</f>
        <v>1050476335</v>
      </c>
      <c r="D1219" s="4">
        <v>15278.94</v>
      </c>
      <c r="E1219">
        <v>2</v>
      </c>
    </row>
    <row r="1220" spans="1:5" x14ac:dyDescent="0.25">
      <c r="A1220" t="s">
        <v>469</v>
      </c>
      <c r="B1220" t="s">
        <v>19</v>
      </c>
      <c r="C1220" s="2">
        <f>HYPERLINK("https://cao.dolgi.msk.ru/account/1050486998/", 1050486998)</f>
        <v>1050486998</v>
      </c>
      <c r="D1220" s="4">
        <v>9897.92</v>
      </c>
      <c r="E1220">
        <v>1.47</v>
      </c>
    </row>
    <row r="1221" spans="1:5" x14ac:dyDescent="0.25">
      <c r="A1221" t="s">
        <v>469</v>
      </c>
      <c r="B1221" t="s">
        <v>42</v>
      </c>
      <c r="C1221" s="2">
        <f>HYPERLINK("https://cao.dolgi.msk.ru/account/1050487261/", 1050487261)</f>
        <v>1050487261</v>
      </c>
      <c r="D1221" s="4">
        <v>8686.0300000000007</v>
      </c>
      <c r="E1221">
        <v>1.57</v>
      </c>
    </row>
    <row r="1222" spans="1:5" x14ac:dyDescent="0.25">
      <c r="A1222" t="s">
        <v>469</v>
      </c>
      <c r="B1222" t="s">
        <v>49</v>
      </c>
      <c r="C1222" s="2">
        <f>HYPERLINK("https://cao.dolgi.msk.ru/account/1050487376/", 1050487376)</f>
        <v>1050487376</v>
      </c>
      <c r="D1222" s="4">
        <v>25158.55</v>
      </c>
      <c r="E1222">
        <v>9.69</v>
      </c>
    </row>
    <row r="1223" spans="1:5" x14ac:dyDescent="0.25">
      <c r="A1223" t="s">
        <v>469</v>
      </c>
      <c r="B1223" t="s">
        <v>57</v>
      </c>
      <c r="C1223" s="2">
        <f>HYPERLINK("https://cao.dolgi.msk.ru/account/1050487464/", 1050487464)</f>
        <v>1050487464</v>
      </c>
      <c r="D1223" s="4">
        <v>106393.72</v>
      </c>
      <c r="E1223">
        <v>24.08</v>
      </c>
    </row>
    <row r="1224" spans="1:5" x14ac:dyDescent="0.25">
      <c r="A1224" t="s">
        <v>469</v>
      </c>
      <c r="B1224" t="s">
        <v>74</v>
      </c>
      <c r="C1224" s="2">
        <f>HYPERLINK("https://cao.dolgi.msk.ru/account/1050487667/", 1050487667)</f>
        <v>1050487667</v>
      </c>
      <c r="D1224" s="4">
        <v>21622.39</v>
      </c>
      <c r="E1224">
        <v>2.36</v>
      </c>
    </row>
    <row r="1225" spans="1:5" x14ac:dyDescent="0.25">
      <c r="A1225" t="s">
        <v>469</v>
      </c>
      <c r="B1225" t="s">
        <v>75</v>
      </c>
      <c r="C1225" s="2">
        <f>HYPERLINK("https://cao.dolgi.msk.ru/account/1059027341/", 1059027341)</f>
        <v>1059027341</v>
      </c>
      <c r="D1225" s="4">
        <v>10230.15</v>
      </c>
      <c r="E1225">
        <v>2.21</v>
      </c>
    </row>
    <row r="1226" spans="1:5" x14ac:dyDescent="0.25">
      <c r="A1226" t="s">
        <v>469</v>
      </c>
      <c r="B1226" t="s">
        <v>77</v>
      </c>
      <c r="C1226" s="2">
        <f>HYPERLINK("https://cao.dolgi.msk.ru/account/1050487739/", 1050487739)</f>
        <v>1050487739</v>
      </c>
      <c r="D1226" s="4">
        <v>10612.64</v>
      </c>
      <c r="E1226">
        <v>1.93</v>
      </c>
    </row>
    <row r="1227" spans="1:5" x14ac:dyDescent="0.25">
      <c r="A1227" t="s">
        <v>469</v>
      </c>
      <c r="B1227" t="s">
        <v>81</v>
      </c>
      <c r="C1227" s="2">
        <f>HYPERLINK("https://cao.dolgi.msk.ru/account/1050487712/", 1050487712)</f>
        <v>1050487712</v>
      </c>
      <c r="D1227" s="4">
        <v>30388.1</v>
      </c>
      <c r="E1227">
        <v>5.03</v>
      </c>
    </row>
    <row r="1228" spans="1:5" x14ac:dyDescent="0.25">
      <c r="A1228" t="s">
        <v>470</v>
      </c>
      <c r="B1228" t="s">
        <v>11</v>
      </c>
      <c r="C1228" s="2">
        <f>HYPERLINK("https://cao.dolgi.msk.ru/account/1050476837/", 1050476837)</f>
        <v>1050476837</v>
      </c>
      <c r="D1228" s="4">
        <v>11424.43</v>
      </c>
      <c r="E1228">
        <v>2.19</v>
      </c>
    </row>
    <row r="1229" spans="1:5" x14ac:dyDescent="0.25">
      <c r="A1229" t="s">
        <v>470</v>
      </c>
      <c r="B1229" t="s">
        <v>18</v>
      </c>
      <c r="C1229" s="2">
        <f>HYPERLINK("https://cao.dolgi.msk.ru/account/1050476917/", 1050476917)</f>
        <v>1050476917</v>
      </c>
      <c r="D1229" s="4">
        <v>28649.42</v>
      </c>
      <c r="E1229">
        <v>5.63</v>
      </c>
    </row>
    <row r="1230" spans="1:5" x14ac:dyDescent="0.25">
      <c r="A1230" t="s">
        <v>470</v>
      </c>
      <c r="B1230" t="s">
        <v>93</v>
      </c>
      <c r="C1230" s="2">
        <f>HYPERLINK("https://cao.dolgi.msk.ru/account/1050476925/", 1050476925)</f>
        <v>1050476925</v>
      </c>
      <c r="D1230" s="4">
        <v>11517.28</v>
      </c>
      <c r="E1230">
        <v>2.4900000000000002</v>
      </c>
    </row>
    <row r="1231" spans="1:5" x14ac:dyDescent="0.25">
      <c r="A1231" t="s">
        <v>470</v>
      </c>
      <c r="B1231" t="s">
        <v>53</v>
      </c>
      <c r="C1231" s="2">
        <f>HYPERLINK("https://cao.dolgi.msk.ru/account/1050477362/", 1050477362)</f>
        <v>1050477362</v>
      </c>
      <c r="D1231" s="4">
        <v>5781.7</v>
      </c>
      <c r="E1231">
        <v>1.89</v>
      </c>
    </row>
    <row r="1232" spans="1:5" x14ac:dyDescent="0.25">
      <c r="A1232" t="s">
        <v>470</v>
      </c>
      <c r="B1232" t="s">
        <v>67</v>
      </c>
      <c r="C1232" s="2">
        <f>HYPERLINK("https://cao.dolgi.msk.ru/account/1050477549/", 1050477549)</f>
        <v>1050477549</v>
      </c>
      <c r="D1232" s="4">
        <v>10556.12</v>
      </c>
      <c r="E1232">
        <v>2.0499999999999998</v>
      </c>
    </row>
    <row r="1233" spans="1:5" x14ac:dyDescent="0.25">
      <c r="A1233" t="s">
        <v>470</v>
      </c>
      <c r="B1233" t="s">
        <v>139</v>
      </c>
      <c r="C1233" s="2">
        <f>HYPERLINK("https://cao.dolgi.msk.ru/account/1050478365/", 1050478365)</f>
        <v>1050478365</v>
      </c>
      <c r="D1233" s="4">
        <v>5497.27</v>
      </c>
      <c r="E1233">
        <v>1.23</v>
      </c>
    </row>
    <row r="1234" spans="1:5" x14ac:dyDescent="0.25">
      <c r="A1234" t="s">
        <v>470</v>
      </c>
      <c r="B1234" t="s">
        <v>154</v>
      </c>
      <c r="C1234" s="2">
        <f>HYPERLINK("https://cao.dolgi.msk.ru/account/1050478541/", 1050478541)</f>
        <v>1050478541</v>
      </c>
      <c r="D1234" s="4">
        <v>13865.73</v>
      </c>
      <c r="E1234">
        <v>3.05</v>
      </c>
    </row>
    <row r="1235" spans="1:5" x14ac:dyDescent="0.25">
      <c r="A1235" t="s">
        <v>470</v>
      </c>
      <c r="B1235" t="s">
        <v>179</v>
      </c>
      <c r="C1235" s="2">
        <f>HYPERLINK("https://cao.dolgi.msk.ru/account/1050478947/", 1050478947)</f>
        <v>1050478947</v>
      </c>
      <c r="D1235" s="4">
        <v>5634.96</v>
      </c>
      <c r="E1235">
        <v>1.23</v>
      </c>
    </row>
    <row r="1236" spans="1:5" x14ac:dyDescent="0.25">
      <c r="A1236" t="s">
        <v>470</v>
      </c>
      <c r="B1236" t="s">
        <v>180</v>
      </c>
      <c r="C1236" s="2">
        <f>HYPERLINK("https://cao.dolgi.msk.ru/account/1050478971/", 1050478971)</f>
        <v>1050478971</v>
      </c>
      <c r="D1236" s="4">
        <v>8496.4500000000007</v>
      </c>
      <c r="E1236">
        <v>1.98</v>
      </c>
    </row>
    <row r="1237" spans="1:5" x14ac:dyDescent="0.25">
      <c r="A1237" t="s">
        <v>470</v>
      </c>
      <c r="B1237" t="s">
        <v>202</v>
      </c>
      <c r="C1237" s="2">
        <f>HYPERLINK("https://cao.dolgi.msk.ru/account/1050479341/", 1050479341)</f>
        <v>1050479341</v>
      </c>
      <c r="D1237" s="4">
        <v>7320</v>
      </c>
      <c r="E1237">
        <v>1.0900000000000001</v>
      </c>
    </row>
    <row r="1238" spans="1:5" x14ac:dyDescent="0.25">
      <c r="A1238" t="s">
        <v>470</v>
      </c>
      <c r="B1238" t="s">
        <v>206</v>
      </c>
      <c r="C1238" s="2">
        <f>HYPERLINK("https://cao.dolgi.msk.ru/account/1050479413/", 1050479413)</f>
        <v>1050479413</v>
      </c>
      <c r="D1238" s="4">
        <v>6996.27</v>
      </c>
      <c r="E1238">
        <v>1.51</v>
      </c>
    </row>
    <row r="1239" spans="1:5" x14ac:dyDescent="0.25">
      <c r="A1239" t="s">
        <v>471</v>
      </c>
      <c r="B1239" t="s">
        <v>50</v>
      </c>
      <c r="C1239" s="2">
        <f>HYPERLINK("https://cao.dolgi.msk.ru/account/1050623606/", 1050623606)</f>
        <v>1050623606</v>
      </c>
      <c r="D1239" s="4">
        <v>13436.12</v>
      </c>
      <c r="E1239">
        <v>2.84</v>
      </c>
    </row>
    <row r="1240" spans="1:5" x14ac:dyDescent="0.25">
      <c r="A1240" t="s">
        <v>471</v>
      </c>
      <c r="B1240" t="s">
        <v>59</v>
      </c>
      <c r="C1240" s="2">
        <f>HYPERLINK("https://cao.dolgi.msk.ru/account/1058121862/", 1058121862)</f>
        <v>1058121862</v>
      </c>
      <c r="D1240" s="4">
        <v>6505.08</v>
      </c>
      <c r="E1240">
        <v>1.77</v>
      </c>
    </row>
    <row r="1241" spans="1:5" x14ac:dyDescent="0.25">
      <c r="A1241" t="s">
        <v>471</v>
      </c>
      <c r="B1241" t="s">
        <v>63</v>
      </c>
      <c r="C1241" s="2">
        <f>HYPERLINK("https://cao.dolgi.msk.ru/account/1058132465/", 1058132465)</f>
        <v>1058132465</v>
      </c>
      <c r="D1241" s="4">
        <v>106321.83</v>
      </c>
      <c r="E1241">
        <v>25.4</v>
      </c>
    </row>
    <row r="1242" spans="1:5" x14ac:dyDescent="0.25">
      <c r="A1242" t="s">
        <v>472</v>
      </c>
      <c r="B1242" t="s">
        <v>19</v>
      </c>
      <c r="C1242" s="2">
        <f>HYPERLINK("https://cao.dolgi.msk.ru/account/1058150997/", 1058150997)</f>
        <v>1058150997</v>
      </c>
      <c r="D1242" s="4">
        <v>10731.23</v>
      </c>
      <c r="E1242">
        <v>1.97</v>
      </c>
    </row>
    <row r="1243" spans="1:5" x14ac:dyDescent="0.25">
      <c r="A1243" t="s">
        <v>472</v>
      </c>
      <c r="B1243" t="s">
        <v>28</v>
      </c>
      <c r="C1243" s="2">
        <f>HYPERLINK("https://cao.dolgi.msk.ru/account/1050630224/", 1050630224)</f>
        <v>1050630224</v>
      </c>
      <c r="D1243" s="4">
        <v>9705.65</v>
      </c>
      <c r="E1243">
        <v>2.37</v>
      </c>
    </row>
    <row r="1244" spans="1:5" x14ac:dyDescent="0.25">
      <c r="A1244" t="s">
        <v>473</v>
      </c>
      <c r="B1244" t="s">
        <v>7</v>
      </c>
      <c r="C1244" s="2">
        <f>HYPERLINK("https://cao.dolgi.msk.ru/account/1050642487/", 1050642487)</f>
        <v>1050642487</v>
      </c>
      <c r="D1244" s="4">
        <v>6724.49</v>
      </c>
      <c r="E1244">
        <v>1.44</v>
      </c>
    </row>
    <row r="1245" spans="1:5" x14ac:dyDescent="0.25">
      <c r="A1245" t="s">
        <v>473</v>
      </c>
      <c r="B1245" t="s">
        <v>8</v>
      </c>
      <c r="C1245" s="2">
        <f>HYPERLINK("https://cao.dolgi.msk.ru/account/1050642495/", 1050642495)</f>
        <v>1050642495</v>
      </c>
      <c r="D1245" s="4">
        <v>5377.8</v>
      </c>
      <c r="E1245">
        <v>1.1100000000000001</v>
      </c>
    </row>
    <row r="1246" spans="1:5" x14ac:dyDescent="0.25">
      <c r="A1246" t="s">
        <v>473</v>
      </c>
      <c r="B1246" t="s">
        <v>39</v>
      </c>
      <c r="C1246" s="2">
        <f>HYPERLINK("https://cao.dolgi.msk.ru/account/1050642874/", 1050642874)</f>
        <v>1050642874</v>
      </c>
      <c r="D1246" s="4">
        <v>116275.12</v>
      </c>
      <c r="E1246">
        <v>26.28</v>
      </c>
    </row>
    <row r="1247" spans="1:5" x14ac:dyDescent="0.25">
      <c r="A1247" t="s">
        <v>473</v>
      </c>
      <c r="B1247" t="s">
        <v>63</v>
      </c>
      <c r="C1247" s="2">
        <f>HYPERLINK("https://cao.dolgi.msk.ru/account/1050643199/", 1050643199)</f>
        <v>1050643199</v>
      </c>
      <c r="D1247" s="4">
        <v>159940.01999999999</v>
      </c>
      <c r="E1247">
        <v>25.84</v>
      </c>
    </row>
    <row r="1248" spans="1:5" x14ac:dyDescent="0.25">
      <c r="A1248" t="s">
        <v>474</v>
      </c>
      <c r="B1248" t="s">
        <v>88</v>
      </c>
      <c r="C1248" s="2">
        <f>HYPERLINK("https://cao.dolgi.msk.ru/account/1050617345/", 1050617345)</f>
        <v>1050617345</v>
      </c>
      <c r="D1248" s="4">
        <v>10493.85</v>
      </c>
      <c r="E1248">
        <v>1.91</v>
      </c>
    </row>
    <row r="1249" spans="1:5" x14ac:dyDescent="0.25">
      <c r="A1249" t="s">
        <v>474</v>
      </c>
      <c r="B1249" t="s">
        <v>110</v>
      </c>
      <c r="C1249" s="2">
        <f>HYPERLINK("https://cao.dolgi.msk.ru/account/1050617548/", 1050617548)</f>
        <v>1050617548</v>
      </c>
      <c r="D1249" s="4">
        <v>10682.26</v>
      </c>
      <c r="E1249">
        <v>1.71</v>
      </c>
    </row>
    <row r="1250" spans="1:5" x14ac:dyDescent="0.25">
      <c r="A1250" t="s">
        <v>474</v>
      </c>
      <c r="B1250" t="s">
        <v>120</v>
      </c>
      <c r="C1250" s="2">
        <f>HYPERLINK("https://cao.dolgi.msk.ru/account/1050617695/", 1050617695)</f>
        <v>1050617695</v>
      </c>
      <c r="D1250" s="4">
        <v>8838.51</v>
      </c>
      <c r="E1250">
        <v>1.7</v>
      </c>
    </row>
    <row r="1251" spans="1:5" x14ac:dyDescent="0.25">
      <c r="A1251" t="s">
        <v>474</v>
      </c>
      <c r="B1251" t="s">
        <v>126</v>
      </c>
      <c r="C1251" s="2">
        <f>HYPERLINK("https://cao.dolgi.msk.ru/account/1050617767/", 1050617767)</f>
        <v>1050617767</v>
      </c>
      <c r="D1251" s="4">
        <v>9747.31</v>
      </c>
      <c r="E1251">
        <v>1.81</v>
      </c>
    </row>
    <row r="1252" spans="1:5" x14ac:dyDescent="0.25">
      <c r="A1252" t="s">
        <v>474</v>
      </c>
      <c r="B1252" t="s">
        <v>128</v>
      </c>
      <c r="C1252" s="2">
        <f>HYPERLINK("https://cao.dolgi.msk.ru/account/1050617783/", 1050617783)</f>
        <v>1050617783</v>
      </c>
      <c r="D1252" s="4">
        <v>6730.55</v>
      </c>
      <c r="E1252">
        <v>1.39</v>
      </c>
    </row>
    <row r="1253" spans="1:5" x14ac:dyDescent="0.25">
      <c r="A1253" t="s">
        <v>474</v>
      </c>
      <c r="B1253" t="s">
        <v>151</v>
      </c>
      <c r="C1253" s="2">
        <f>HYPERLINK("https://cao.dolgi.msk.ru/account/1050618049/", 1050618049)</f>
        <v>1050618049</v>
      </c>
      <c r="D1253" s="4">
        <v>7581.71</v>
      </c>
      <c r="E1253">
        <v>1.05</v>
      </c>
    </row>
    <row r="1254" spans="1:5" x14ac:dyDescent="0.25">
      <c r="A1254" t="s">
        <v>474</v>
      </c>
      <c r="B1254" t="s">
        <v>190</v>
      </c>
      <c r="C1254" s="2">
        <f>HYPERLINK("https://cao.dolgi.msk.ru/account/1050618647/", 1050618647)</f>
        <v>1050618647</v>
      </c>
      <c r="D1254" s="4">
        <v>16317.31</v>
      </c>
      <c r="E1254">
        <v>2.67</v>
      </c>
    </row>
    <row r="1255" spans="1:5" x14ac:dyDescent="0.25">
      <c r="A1255" t="s">
        <v>474</v>
      </c>
      <c r="B1255" t="s">
        <v>191</v>
      </c>
      <c r="C1255" s="2">
        <f>HYPERLINK("https://cao.dolgi.msk.ru/account/1050618655/", 1050618655)</f>
        <v>1050618655</v>
      </c>
      <c r="D1255" s="4">
        <v>12392.3</v>
      </c>
      <c r="E1255">
        <v>1.97</v>
      </c>
    </row>
    <row r="1256" spans="1:5" x14ac:dyDescent="0.25">
      <c r="A1256" t="s">
        <v>475</v>
      </c>
      <c r="B1256" t="s">
        <v>28</v>
      </c>
      <c r="C1256" s="2">
        <f>HYPERLINK("https://cao.dolgi.msk.ru/account/1050645952/", 1050645952)</f>
        <v>1050645952</v>
      </c>
      <c r="D1256" s="4">
        <v>12832.21</v>
      </c>
      <c r="E1256">
        <v>1.85</v>
      </c>
    </row>
    <row r="1257" spans="1:5" x14ac:dyDescent="0.25">
      <c r="A1257" t="s">
        <v>476</v>
      </c>
      <c r="B1257" t="s">
        <v>19</v>
      </c>
      <c r="C1257" s="2">
        <f>HYPERLINK("https://cao.dolgi.msk.ru/account/1050644992/", 1050644992)</f>
        <v>1050644992</v>
      </c>
      <c r="D1257" s="4">
        <v>14147.1</v>
      </c>
      <c r="E1257">
        <v>2.21</v>
      </c>
    </row>
    <row r="1258" spans="1:5" x14ac:dyDescent="0.25">
      <c r="A1258" t="s">
        <v>476</v>
      </c>
      <c r="B1258" t="s">
        <v>20</v>
      </c>
      <c r="C1258" s="2">
        <f>HYPERLINK("https://cao.dolgi.msk.ru/account/1050645012/", 1050645012)</f>
        <v>1050645012</v>
      </c>
      <c r="D1258" s="4">
        <v>16498.330000000002</v>
      </c>
      <c r="E1258">
        <v>1.92</v>
      </c>
    </row>
    <row r="1259" spans="1:5" x14ac:dyDescent="0.25">
      <c r="A1259" t="s">
        <v>476</v>
      </c>
      <c r="B1259" t="s">
        <v>24</v>
      </c>
      <c r="C1259" s="2">
        <f>HYPERLINK("https://cao.dolgi.msk.ru/account/1050645071/", 1050645071)</f>
        <v>1050645071</v>
      </c>
      <c r="D1259" s="4">
        <v>20360.04</v>
      </c>
      <c r="E1259">
        <v>1.82</v>
      </c>
    </row>
    <row r="1260" spans="1:5" x14ac:dyDescent="0.25">
      <c r="A1260" t="s">
        <v>476</v>
      </c>
      <c r="B1260" t="s">
        <v>33</v>
      </c>
      <c r="C1260" s="2">
        <f>HYPERLINK("https://cao.dolgi.msk.ru/account/1050645194/", 1050645194)</f>
        <v>1050645194</v>
      </c>
      <c r="D1260" s="4">
        <v>7953.7</v>
      </c>
      <c r="E1260">
        <v>1.36</v>
      </c>
    </row>
    <row r="1261" spans="1:5" x14ac:dyDescent="0.25">
      <c r="A1261" t="s">
        <v>476</v>
      </c>
      <c r="B1261" t="s">
        <v>38</v>
      </c>
      <c r="C1261" s="2">
        <f>HYPERLINK("https://cao.dolgi.msk.ru/account/1050645258/", 1050645258)</f>
        <v>1050645258</v>
      </c>
      <c r="D1261" s="4">
        <v>54708.88</v>
      </c>
      <c r="E1261">
        <v>2.39</v>
      </c>
    </row>
    <row r="1262" spans="1:5" x14ac:dyDescent="0.25">
      <c r="A1262" t="s">
        <v>476</v>
      </c>
      <c r="B1262" t="s">
        <v>41</v>
      </c>
      <c r="C1262" s="2">
        <f>HYPERLINK("https://cao.dolgi.msk.ru/account/1058009416/", 1058009416)</f>
        <v>1058009416</v>
      </c>
      <c r="D1262" s="4">
        <v>59351.61</v>
      </c>
      <c r="E1262">
        <v>6.86</v>
      </c>
    </row>
    <row r="1263" spans="1:5" x14ac:dyDescent="0.25">
      <c r="A1263" t="s">
        <v>476</v>
      </c>
      <c r="B1263" t="s">
        <v>47</v>
      </c>
      <c r="C1263" s="2">
        <f>HYPERLINK("https://cao.dolgi.msk.ru/account/1050645426/", 1050645426)</f>
        <v>1050645426</v>
      </c>
      <c r="D1263" s="4">
        <v>8344.4</v>
      </c>
      <c r="E1263">
        <v>1.08</v>
      </c>
    </row>
    <row r="1264" spans="1:5" x14ac:dyDescent="0.25">
      <c r="A1264" t="s">
        <v>476</v>
      </c>
      <c r="B1264" t="s">
        <v>52</v>
      </c>
      <c r="C1264" s="2">
        <f>HYPERLINK("https://cao.dolgi.msk.ru/account/1050645506/", 1050645506)</f>
        <v>1050645506</v>
      </c>
      <c r="D1264" s="4">
        <v>42137.03</v>
      </c>
      <c r="E1264">
        <v>2.4</v>
      </c>
    </row>
    <row r="1265" spans="1:5" x14ac:dyDescent="0.25">
      <c r="A1265" t="s">
        <v>477</v>
      </c>
      <c r="B1265" t="s">
        <v>26</v>
      </c>
      <c r="C1265" s="2">
        <f>HYPERLINK("https://cao.dolgi.msk.ru/account/1050644458/", 1050644458)</f>
        <v>1050644458</v>
      </c>
      <c r="D1265" s="4">
        <v>23927.06</v>
      </c>
      <c r="E1265">
        <v>3.01</v>
      </c>
    </row>
    <row r="1266" spans="1:5" x14ac:dyDescent="0.25">
      <c r="A1266" t="s">
        <v>477</v>
      </c>
      <c r="B1266" t="s">
        <v>35</v>
      </c>
      <c r="C1266" s="2">
        <f>HYPERLINK("https://cao.dolgi.msk.ru/account/1050644642/", 1050644642)</f>
        <v>1050644642</v>
      </c>
      <c r="D1266" s="4">
        <v>12983.65</v>
      </c>
      <c r="E1266">
        <v>2.81</v>
      </c>
    </row>
    <row r="1267" spans="1:5" x14ac:dyDescent="0.25">
      <c r="A1267" t="s">
        <v>478</v>
      </c>
      <c r="B1267" t="s">
        <v>16</v>
      </c>
      <c r="C1267" s="2">
        <f>HYPERLINK("https://cao.dolgi.msk.ru/account/1058132887/", 1058132887)</f>
        <v>1058132887</v>
      </c>
      <c r="D1267" s="4">
        <v>48146.95</v>
      </c>
      <c r="E1267">
        <v>8.26</v>
      </c>
    </row>
    <row r="1268" spans="1:5" x14ac:dyDescent="0.25">
      <c r="A1268" t="s">
        <v>478</v>
      </c>
      <c r="B1268" t="s">
        <v>20</v>
      </c>
      <c r="C1268" s="2">
        <f>HYPERLINK("https://cao.dolgi.msk.ru/account/1050622494/", 1050622494)</f>
        <v>1050622494</v>
      </c>
      <c r="D1268" s="4">
        <v>52493.52</v>
      </c>
      <c r="E1268">
        <v>16.010000000000002</v>
      </c>
    </row>
    <row r="1269" spans="1:5" x14ac:dyDescent="0.25">
      <c r="A1269" t="s">
        <v>478</v>
      </c>
      <c r="B1269" t="s">
        <v>29</v>
      </c>
      <c r="C1269" s="2">
        <f>HYPERLINK("https://cao.dolgi.msk.ru/account/1050622582/", 1050622582)</f>
        <v>1050622582</v>
      </c>
      <c r="D1269" s="4">
        <v>181895.35</v>
      </c>
      <c r="E1269">
        <v>10.73</v>
      </c>
    </row>
    <row r="1270" spans="1:5" x14ac:dyDescent="0.25">
      <c r="A1270" t="s">
        <v>478</v>
      </c>
      <c r="B1270" t="s">
        <v>31</v>
      </c>
      <c r="C1270" s="2">
        <f>HYPERLINK("https://cao.dolgi.msk.ru/account/1050622611/", 1050622611)</f>
        <v>1050622611</v>
      </c>
      <c r="D1270" s="4">
        <v>89623.7</v>
      </c>
      <c r="E1270">
        <v>11.93</v>
      </c>
    </row>
    <row r="1271" spans="1:5" x14ac:dyDescent="0.25">
      <c r="A1271" t="s">
        <v>478</v>
      </c>
      <c r="B1271" t="s">
        <v>32</v>
      </c>
      <c r="C1271" s="2">
        <f>HYPERLINK("https://cao.dolgi.msk.ru/account/1050622638/", 1050622638)</f>
        <v>1050622638</v>
      </c>
      <c r="D1271" s="4">
        <v>10064.200000000001</v>
      </c>
      <c r="E1271">
        <v>1.01</v>
      </c>
    </row>
    <row r="1272" spans="1:5" x14ac:dyDescent="0.25">
      <c r="A1272" t="s">
        <v>478</v>
      </c>
      <c r="B1272" t="s">
        <v>59</v>
      </c>
      <c r="C1272" s="2">
        <f>HYPERLINK("https://cao.dolgi.msk.ru/account/1050622996/", 1050622996)</f>
        <v>1050622996</v>
      </c>
      <c r="D1272" s="4">
        <v>17966.36</v>
      </c>
      <c r="E1272">
        <v>2.99</v>
      </c>
    </row>
    <row r="1273" spans="1:5" x14ac:dyDescent="0.25">
      <c r="A1273" t="s">
        <v>479</v>
      </c>
      <c r="B1273" t="s">
        <v>45</v>
      </c>
      <c r="C1273" s="2">
        <f>HYPERLINK("https://cao.dolgi.msk.ru/account/1050723279/", 1050723279)</f>
        <v>1050723279</v>
      </c>
      <c r="D1273" s="4">
        <v>24687.43</v>
      </c>
      <c r="E1273">
        <v>2.2000000000000002</v>
      </c>
    </row>
    <row r="1274" spans="1:5" x14ac:dyDescent="0.25">
      <c r="A1274" t="s">
        <v>479</v>
      </c>
      <c r="B1274" t="s">
        <v>71</v>
      </c>
      <c r="C1274" s="2">
        <f>HYPERLINK("https://cao.dolgi.msk.ru/account/1050723623/", 1050723623)</f>
        <v>1050723623</v>
      </c>
      <c r="D1274" s="4">
        <v>127491.65</v>
      </c>
      <c r="E1274">
        <v>5.69</v>
      </c>
    </row>
    <row r="1275" spans="1:5" x14ac:dyDescent="0.25">
      <c r="A1275" t="s">
        <v>479</v>
      </c>
      <c r="B1275" t="s">
        <v>75</v>
      </c>
      <c r="C1275" s="2">
        <f>HYPERLINK("https://cao.dolgi.msk.ru/account/1050723674/", 1050723674)</f>
        <v>1050723674</v>
      </c>
      <c r="D1275" s="4">
        <v>27859.52</v>
      </c>
      <c r="E1275">
        <v>1.65</v>
      </c>
    </row>
    <row r="1276" spans="1:5" x14ac:dyDescent="0.25">
      <c r="A1276" t="s">
        <v>479</v>
      </c>
      <c r="B1276" t="s">
        <v>89</v>
      </c>
      <c r="C1276" s="2">
        <f>HYPERLINK("https://cao.dolgi.msk.ru/account/1050723885/", 1050723885)</f>
        <v>1050723885</v>
      </c>
      <c r="D1276" s="4">
        <v>9244.08</v>
      </c>
      <c r="E1276">
        <v>1.01</v>
      </c>
    </row>
    <row r="1277" spans="1:5" x14ac:dyDescent="0.25">
      <c r="A1277" t="s">
        <v>479</v>
      </c>
      <c r="B1277" t="s">
        <v>101</v>
      </c>
      <c r="C1277" s="2">
        <f>HYPERLINK("https://cao.dolgi.msk.ru/account/1050723973/", 1050723973)</f>
        <v>1050723973</v>
      </c>
      <c r="D1277" s="4">
        <v>13265.14</v>
      </c>
      <c r="E1277">
        <v>1.06</v>
      </c>
    </row>
    <row r="1278" spans="1:5" x14ac:dyDescent="0.25">
      <c r="A1278" t="s">
        <v>479</v>
      </c>
      <c r="B1278" t="s">
        <v>102</v>
      </c>
      <c r="C1278" s="2">
        <f>HYPERLINK("https://cao.dolgi.msk.ru/account/1050723981/", 1050723981)</f>
        <v>1050723981</v>
      </c>
      <c r="D1278" s="4">
        <v>19668.2</v>
      </c>
      <c r="E1278">
        <v>1.73</v>
      </c>
    </row>
    <row r="1279" spans="1:5" x14ac:dyDescent="0.25">
      <c r="A1279" t="s">
        <v>479</v>
      </c>
      <c r="B1279" t="s">
        <v>116</v>
      </c>
      <c r="C1279" s="2">
        <f>HYPERLINK("https://cao.dolgi.msk.ru/account/1058157515/", 1058157515)</f>
        <v>1058157515</v>
      </c>
      <c r="D1279" s="4">
        <v>31085.599999999999</v>
      </c>
      <c r="E1279">
        <v>2.93</v>
      </c>
    </row>
    <row r="1280" spans="1:5" x14ac:dyDescent="0.25">
      <c r="A1280" t="s">
        <v>479</v>
      </c>
      <c r="B1280" t="s">
        <v>117</v>
      </c>
      <c r="C1280" s="2">
        <f>HYPERLINK("https://cao.dolgi.msk.ru/account/1050724191/", 1050724191)</f>
        <v>1050724191</v>
      </c>
      <c r="D1280" s="4">
        <v>420532.83</v>
      </c>
      <c r="E1280">
        <v>17.350000000000001</v>
      </c>
    </row>
    <row r="1281" spans="1:5" x14ac:dyDescent="0.25">
      <c r="A1281" t="s">
        <v>479</v>
      </c>
      <c r="B1281" t="s">
        <v>134</v>
      </c>
      <c r="C1281" s="2">
        <f>HYPERLINK("https://cao.dolgi.msk.ru/account/1050724415/", 1050724415)</f>
        <v>1050724415</v>
      </c>
      <c r="D1281" s="4">
        <v>18993.63</v>
      </c>
      <c r="E1281">
        <v>3.34</v>
      </c>
    </row>
    <row r="1282" spans="1:5" x14ac:dyDescent="0.25">
      <c r="A1282" t="s">
        <v>479</v>
      </c>
      <c r="B1282" t="s">
        <v>146</v>
      </c>
      <c r="C1282" s="2">
        <f>HYPERLINK("https://cao.dolgi.msk.ru/account/1050724538/", 1050724538)</f>
        <v>1050724538</v>
      </c>
      <c r="D1282" s="4">
        <v>345689.4</v>
      </c>
      <c r="E1282">
        <v>16.420000000000002</v>
      </c>
    </row>
    <row r="1283" spans="1:5" x14ac:dyDescent="0.25">
      <c r="A1283" t="s">
        <v>479</v>
      </c>
      <c r="B1283" t="s">
        <v>147</v>
      </c>
      <c r="C1283" s="2">
        <f>HYPERLINK("https://cao.dolgi.msk.ru/account/1050724546/", 1050724546)</f>
        <v>1050724546</v>
      </c>
      <c r="D1283" s="4">
        <v>13561.29</v>
      </c>
      <c r="E1283">
        <v>2</v>
      </c>
    </row>
    <row r="1284" spans="1:5" x14ac:dyDescent="0.25">
      <c r="A1284" t="s">
        <v>479</v>
      </c>
      <c r="B1284" t="s">
        <v>162</v>
      </c>
      <c r="C1284" s="2">
        <f>HYPERLINK("https://cao.dolgi.msk.ru/account/1050724861/", 1050724861)</f>
        <v>1050724861</v>
      </c>
      <c r="D1284" s="4">
        <v>15380.17</v>
      </c>
      <c r="E1284">
        <v>1.39</v>
      </c>
    </row>
    <row r="1285" spans="1:5" x14ac:dyDescent="0.25">
      <c r="A1285" t="s">
        <v>479</v>
      </c>
      <c r="B1285" t="s">
        <v>168</v>
      </c>
      <c r="C1285" s="2">
        <f>HYPERLINK("https://cao.dolgi.msk.ru/account/1058028553/", 1058028553)</f>
        <v>1058028553</v>
      </c>
      <c r="D1285" s="4">
        <v>77617.77</v>
      </c>
      <c r="E1285">
        <v>6.75</v>
      </c>
    </row>
    <row r="1286" spans="1:5" x14ac:dyDescent="0.25">
      <c r="A1286" t="s">
        <v>479</v>
      </c>
      <c r="B1286" t="s">
        <v>170</v>
      </c>
      <c r="C1286" s="2">
        <f>HYPERLINK("https://cao.dolgi.msk.ru/account/1050725063/", 1050725063)</f>
        <v>1050725063</v>
      </c>
      <c r="D1286" s="4">
        <v>32908.81</v>
      </c>
      <c r="E1286">
        <v>2.94</v>
      </c>
    </row>
    <row r="1287" spans="1:5" x14ac:dyDescent="0.25">
      <c r="A1287" t="s">
        <v>479</v>
      </c>
      <c r="B1287" t="s">
        <v>182</v>
      </c>
      <c r="C1287" s="2">
        <f>HYPERLINK("https://cao.dolgi.msk.ru/account/1050725338/", 1050725338)</f>
        <v>1050725338</v>
      </c>
      <c r="D1287" s="4">
        <v>39003.800000000003</v>
      </c>
      <c r="E1287">
        <v>3.88</v>
      </c>
    </row>
    <row r="1288" spans="1:5" x14ac:dyDescent="0.25">
      <c r="A1288" t="s">
        <v>479</v>
      </c>
      <c r="B1288" t="s">
        <v>184</v>
      </c>
      <c r="C1288" s="2">
        <f>HYPERLINK("https://cao.dolgi.msk.ru/account/1050725362/", 1050725362)</f>
        <v>1050725362</v>
      </c>
      <c r="D1288" s="4">
        <v>38289.14</v>
      </c>
      <c r="E1288">
        <v>3.88</v>
      </c>
    </row>
    <row r="1289" spans="1:5" x14ac:dyDescent="0.25">
      <c r="A1289" t="s">
        <v>479</v>
      </c>
      <c r="B1289" t="s">
        <v>185</v>
      </c>
      <c r="C1289" s="2">
        <f>HYPERLINK("https://cao.dolgi.msk.ru/account/1050725397/", 1050725397)</f>
        <v>1050725397</v>
      </c>
      <c r="D1289" s="4">
        <v>34865.370000000003</v>
      </c>
      <c r="E1289">
        <v>3.87</v>
      </c>
    </row>
    <row r="1290" spans="1:5" x14ac:dyDescent="0.25">
      <c r="A1290" t="s">
        <v>479</v>
      </c>
      <c r="B1290" t="s">
        <v>186</v>
      </c>
      <c r="C1290" s="2">
        <f>HYPERLINK("https://cao.dolgi.msk.ru/account/1050725418/", 1050725418)</f>
        <v>1050725418</v>
      </c>
      <c r="D1290" s="4">
        <v>23765.1</v>
      </c>
      <c r="E1290">
        <v>2.69</v>
      </c>
    </row>
    <row r="1291" spans="1:5" x14ac:dyDescent="0.25">
      <c r="A1291" t="s">
        <v>480</v>
      </c>
      <c r="B1291" t="s">
        <v>21</v>
      </c>
      <c r="C1291" s="2">
        <f>HYPERLINK("https://cao.dolgi.msk.ru/account/1050601722/", 1050601722)</f>
        <v>1050601722</v>
      </c>
      <c r="D1291" s="4">
        <v>11077.57</v>
      </c>
      <c r="E1291">
        <v>1.95</v>
      </c>
    </row>
    <row r="1292" spans="1:5" x14ac:dyDescent="0.25">
      <c r="A1292" t="s">
        <v>480</v>
      </c>
      <c r="B1292" t="s">
        <v>29</v>
      </c>
      <c r="C1292" s="2">
        <f>HYPERLINK("https://cao.dolgi.msk.ru/account/1050601845/", 1050601845)</f>
        <v>1050601845</v>
      </c>
      <c r="D1292" s="4">
        <v>7821.46</v>
      </c>
      <c r="E1292">
        <v>1.1000000000000001</v>
      </c>
    </row>
    <row r="1293" spans="1:5" x14ac:dyDescent="0.25">
      <c r="A1293" t="s">
        <v>480</v>
      </c>
      <c r="B1293" t="s">
        <v>47</v>
      </c>
      <c r="C1293" s="2">
        <f>HYPERLINK("https://cao.dolgi.msk.ru/account/1050602151/", 1050602151)</f>
        <v>1050602151</v>
      </c>
      <c r="D1293" s="4">
        <v>5709</v>
      </c>
      <c r="E1293">
        <v>1.95</v>
      </c>
    </row>
    <row r="1294" spans="1:5" x14ac:dyDescent="0.25">
      <c r="A1294" t="s">
        <v>481</v>
      </c>
      <c r="B1294" t="s">
        <v>105</v>
      </c>
      <c r="C1294" s="2">
        <f>HYPERLINK("https://cao.dolgi.msk.ru/account/1050603023/", 1050603023)</f>
        <v>1050603023</v>
      </c>
      <c r="D1294" s="4">
        <v>16586.11</v>
      </c>
      <c r="E1294">
        <v>1.94</v>
      </c>
    </row>
    <row r="1295" spans="1:5" x14ac:dyDescent="0.25">
      <c r="A1295" t="s">
        <v>481</v>
      </c>
      <c r="B1295" t="s">
        <v>112</v>
      </c>
      <c r="C1295" s="2">
        <f>HYPERLINK("https://cao.dolgi.msk.ru/account/1050603154/", 1050603154)</f>
        <v>1050603154</v>
      </c>
      <c r="D1295" s="4">
        <v>26898.02</v>
      </c>
      <c r="E1295">
        <v>2.29</v>
      </c>
    </row>
    <row r="1296" spans="1:5" x14ac:dyDescent="0.25">
      <c r="A1296" t="s">
        <v>481</v>
      </c>
      <c r="B1296" t="s">
        <v>117</v>
      </c>
      <c r="C1296" s="2">
        <f>HYPERLINK("https://cao.dolgi.msk.ru/account/1058014207/", 1058014207)</f>
        <v>1058014207</v>
      </c>
      <c r="D1296" s="4">
        <v>11110.25</v>
      </c>
      <c r="E1296">
        <v>2.4500000000000002</v>
      </c>
    </row>
    <row r="1297" spans="1:5" x14ac:dyDescent="0.25">
      <c r="A1297" t="s">
        <v>482</v>
      </c>
      <c r="B1297" t="s">
        <v>148</v>
      </c>
      <c r="C1297" s="2">
        <f>HYPERLINK("https://cao.dolgi.msk.ru/account/1050603613/", 1050603613)</f>
        <v>1050603613</v>
      </c>
      <c r="D1297" s="4">
        <v>21571.57</v>
      </c>
      <c r="E1297">
        <v>2.29</v>
      </c>
    </row>
    <row r="1298" spans="1:5" x14ac:dyDescent="0.25">
      <c r="A1298" t="s">
        <v>482</v>
      </c>
      <c r="B1298" t="s">
        <v>157</v>
      </c>
      <c r="C1298" s="2">
        <f>HYPERLINK("https://cao.dolgi.msk.ru/account/1058017563/", 1058017563)</f>
        <v>1058017563</v>
      </c>
      <c r="D1298" s="4">
        <v>8623.24</v>
      </c>
      <c r="E1298">
        <v>2.41</v>
      </c>
    </row>
    <row r="1299" spans="1:5" x14ac:dyDescent="0.25">
      <c r="A1299" t="s">
        <v>482</v>
      </c>
      <c r="B1299" t="s">
        <v>162</v>
      </c>
      <c r="C1299" s="2">
        <f>HYPERLINK("https://cao.dolgi.msk.ru/account/1050603859/", 1050603859)</f>
        <v>1050603859</v>
      </c>
      <c r="D1299" s="4">
        <v>6629.02</v>
      </c>
      <c r="E1299">
        <v>1.01</v>
      </c>
    </row>
    <row r="1300" spans="1:5" x14ac:dyDescent="0.25">
      <c r="A1300" t="s">
        <v>482</v>
      </c>
      <c r="B1300" t="s">
        <v>172</v>
      </c>
      <c r="C1300" s="2">
        <f>HYPERLINK("https://cao.dolgi.msk.ru/account/1050604026/", 1050604026)</f>
        <v>1050604026</v>
      </c>
      <c r="D1300" s="4">
        <v>14286.05</v>
      </c>
      <c r="E1300">
        <v>2.0099999999999998</v>
      </c>
    </row>
    <row r="1301" spans="1:5" x14ac:dyDescent="0.25">
      <c r="A1301" t="s">
        <v>482</v>
      </c>
      <c r="B1301" t="s">
        <v>173</v>
      </c>
      <c r="C1301" s="2">
        <f>HYPERLINK("https://cao.dolgi.msk.ru/account/1058156037/", 1058156037)</f>
        <v>1058156037</v>
      </c>
      <c r="D1301" s="4">
        <v>24035.759999999998</v>
      </c>
      <c r="E1301">
        <v>2.98</v>
      </c>
    </row>
    <row r="1302" spans="1:5" x14ac:dyDescent="0.25">
      <c r="A1302" t="s">
        <v>482</v>
      </c>
      <c r="B1302" t="s">
        <v>177</v>
      </c>
      <c r="C1302" s="2">
        <f>HYPERLINK("https://cao.dolgi.msk.ru/account/1050604106/", 1050604106)</f>
        <v>1050604106</v>
      </c>
      <c r="D1302" s="4">
        <v>236204.37</v>
      </c>
      <c r="E1302">
        <v>19.8</v>
      </c>
    </row>
    <row r="1303" spans="1:5" x14ac:dyDescent="0.25">
      <c r="A1303" t="s">
        <v>483</v>
      </c>
      <c r="B1303" t="s">
        <v>9</v>
      </c>
      <c r="C1303" s="2">
        <f>HYPERLINK("https://cao.dolgi.msk.ru/account/1050636925/", 1050636925)</f>
        <v>1050636925</v>
      </c>
      <c r="D1303" s="4">
        <v>81110.25</v>
      </c>
      <c r="E1303">
        <v>9.27</v>
      </c>
    </row>
    <row r="1304" spans="1:5" x14ac:dyDescent="0.25">
      <c r="A1304" t="s">
        <v>483</v>
      </c>
      <c r="B1304" t="s">
        <v>16</v>
      </c>
      <c r="C1304" s="2">
        <f>HYPERLINK("https://cao.dolgi.msk.ru/account/1050637012/", 1050637012)</f>
        <v>1050637012</v>
      </c>
      <c r="D1304" s="4">
        <v>32335.72</v>
      </c>
      <c r="E1304">
        <v>8.02</v>
      </c>
    </row>
    <row r="1305" spans="1:5" x14ac:dyDescent="0.25">
      <c r="A1305" t="s">
        <v>483</v>
      </c>
      <c r="B1305" t="s">
        <v>24</v>
      </c>
      <c r="C1305" s="2">
        <f>HYPERLINK("https://cao.dolgi.msk.ru/account/1050637186/", 1050637186)</f>
        <v>1050637186</v>
      </c>
      <c r="D1305" s="4">
        <v>7177.52</v>
      </c>
      <c r="E1305">
        <v>1.98</v>
      </c>
    </row>
    <row r="1306" spans="1:5" x14ac:dyDescent="0.25">
      <c r="A1306" t="s">
        <v>483</v>
      </c>
      <c r="B1306" t="s">
        <v>26</v>
      </c>
      <c r="C1306" s="2">
        <f>HYPERLINK("https://cao.dolgi.msk.ru/account/1050637194/", 1050637194)</f>
        <v>1050637194</v>
      </c>
      <c r="D1306" s="4">
        <v>11890.42</v>
      </c>
      <c r="E1306">
        <v>1.99</v>
      </c>
    </row>
    <row r="1307" spans="1:5" x14ac:dyDescent="0.25">
      <c r="A1307" t="s">
        <v>483</v>
      </c>
      <c r="B1307" t="s">
        <v>32</v>
      </c>
      <c r="C1307" s="2">
        <f>HYPERLINK("https://cao.dolgi.msk.ru/account/1050637274/", 1050637274)</f>
        <v>1050637274</v>
      </c>
      <c r="D1307" s="4">
        <v>9226.92</v>
      </c>
      <c r="E1307">
        <v>1.1399999999999999</v>
      </c>
    </row>
    <row r="1308" spans="1:5" x14ac:dyDescent="0.25">
      <c r="A1308" t="s">
        <v>484</v>
      </c>
      <c r="B1308" t="s">
        <v>31</v>
      </c>
      <c r="C1308" s="2">
        <f>HYPERLINK("https://cao.dolgi.msk.ru/account/1050650225/", 1050650225)</f>
        <v>1050650225</v>
      </c>
      <c r="D1308" s="4">
        <v>10251.52</v>
      </c>
      <c r="E1308">
        <v>1.85</v>
      </c>
    </row>
    <row r="1309" spans="1:5" x14ac:dyDescent="0.25">
      <c r="A1309" t="s">
        <v>484</v>
      </c>
      <c r="B1309" t="s">
        <v>94</v>
      </c>
      <c r="C1309" s="2">
        <f>HYPERLINK("https://cao.dolgi.msk.ru/account/1050650452/", 1050650452)</f>
        <v>1050650452</v>
      </c>
      <c r="D1309" s="4">
        <v>10277.129999999999</v>
      </c>
      <c r="E1309">
        <v>1.95</v>
      </c>
    </row>
    <row r="1310" spans="1:5" x14ac:dyDescent="0.25">
      <c r="A1310" t="s">
        <v>485</v>
      </c>
      <c r="B1310" t="s">
        <v>17</v>
      </c>
      <c r="C1310" s="2">
        <f>HYPERLINK("https://cao.dolgi.msk.ru/account/1050649232/", 1050649232)</f>
        <v>1050649232</v>
      </c>
      <c r="D1310" s="4">
        <v>10745.87</v>
      </c>
      <c r="E1310">
        <v>2.94</v>
      </c>
    </row>
    <row r="1311" spans="1:5" x14ac:dyDescent="0.25">
      <c r="A1311" t="s">
        <v>485</v>
      </c>
      <c r="B1311" t="s">
        <v>32</v>
      </c>
      <c r="C1311" s="2">
        <f>HYPERLINK("https://cao.dolgi.msk.ru/account/1050649494/", 1050649494)</f>
        <v>1050649494</v>
      </c>
      <c r="D1311" s="4">
        <v>12526.71</v>
      </c>
      <c r="E1311">
        <v>1.83</v>
      </c>
    </row>
    <row r="1312" spans="1:5" x14ac:dyDescent="0.25">
      <c r="A1312" t="s">
        <v>485</v>
      </c>
      <c r="B1312" t="s">
        <v>39</v>
      </c>
      <c r="C1312" s="2">
        <f>HYPERLINK("https://cao.dolgi.msk.ru/account/1050649582/", 1050649582)</f>
        <v>1050649582</v>
      </c>
      <c r="D1312" s="4">
        <v>9047.17</v>
      </c>
      <c r="E1312">
        <v>1.95</v>
      </c>
    </row>
    <row r="1313" spans="1:5" x14ac:dyDescent="0.25">
      <c r="A1313" t="s">
        <v>485</v>
      </c>
      <c r="B1313" t="s">
        <v>40</v>
      </c>
      <c r="C1313" s="2">
        <f>HYPERLINK("https://cao.dolgi.msk.ru/account/1058153768/", 1058153768)</f>
        <v>1058153768</v>
      </c>
      <c r="D1313" s="4">
        <v>7838.24</v>
      </c>
      <c r="E1313">
        <v>2</v>
      </c>
    </row>
    <row r="1314" spans="1:5" x14ac:dyDescent="0.25">
      <c r="A1314" t="s">
        <v>485</v>
      </c>
      <c r="B1314" t="s">
        <v>94</v>
      </c>
      <c r="C1314" s="2">
        <f>HYPERLINK("https://cao.dolgi.msk.ru/account/1050649734/", 1050649734)</f>
        <v>1050649734</v>
      </c>
      <c r="D1314" s="4">
        <v>69692.91</v>
      </c>
      <c r="E1314">
        <v>10.210000000000001</v>
      </c>
    </row>
    <row r="1315" spans="1:5" x14ac:dyDescent="0.25">
      <c r="A1315" t="s">
        <v>486</v>
      </c>
      <c r="B1315" t="s">
        <v>7</v>
      </c>
      <c r="C1315" s="2">
        <f>HYPERLINK("https://cao.dolgi.msk.ru/account/1050600076/", 1050600076)</f>
        <v>1050600076</v>
      </c>
      <c r="D1315" s="4">
        <v>46559.91</v>
      </c>
      <c r="E1315">
        <v>6.89</v>
      </c>
    </row>
    <row r="1316" spans="1:5" x14ac:dyDescent="0.25">
      <c r="A1316" t="s">
        <v>486</v>
      </c>
      <c r="B1316" t="s">
        <v>11</v>
      </c>
      <c r="C1316" s="2">
        <f>HYPERLINK("https://cao.dolgi.msk.ru/account/1050600113/", 1050600113)</f>
        <v>1050600113</v>
      </c>
      <c r="D1316" s="4">
        <v>19737.240000000002</v>
      </c>
      <c r="E1316">
        <v>2.99</v>
      </c>
    </row>
    <row r="1317" spans="1:5" x14ac:dyDescent="0.25">
      <c r="A1317" t="s">
        <v>486</v>
      </c>
      <c r="B1317" t="s">
        <v>94</v>
      </c>
      <c r="C1317" s="2">
        <f>HYPERLINK("https://cao.dolgi.msk.ru/account/1050600586/", 1050600586)</f>
        <v>1050600586</v>
      </c>
      <c r="D1317" s="4">
        <v>17259.78</v>
      </c>
      <c r="E1317">
        <v>3.39</v>
      </c>
    </row>
    <row r="1318" spans="1:5" x14ac:dyDescent="0.25">
      <c r="A1318" t="s">
        <v>486</v>
      </c>
      <c r="B1318" t="s">
        <v>53</v>
      </c>
      <c r="C1318" s="2">
        <f>HYPERLINK("https://cao.dolgi.msk.ru/account/1050600666/", 1050600666)</f>
        <v>1050600666</v>
      </c>
      <c r="D1318" s="4">
        <v>5829.53</v>
      </c>
      <c r="E1318">
        <v>1.63</v>
      </c>
    </row>
    <row r="1319" spans="1:5" x14ac:dyDescent="0.25">
      <c r="A1319" t="s">
        <v>486</v>
      </c>
      <c r="B1319" t="s">
        <v>55</v>
      </c>
      <c r="C1319" s="2">
        <f>HYPERLINK("https://cao.dolgi.msk.ru/account/1050600682/", 1050600682)</f>
        <v>1050600682</v>
      </c>
      <c r="D1319" s="4">
        <v>17137.87</v>
      </c>
      <c r="E1319">
        <v>2.97</v>
      </c>
    </row>
    <row r="1320" spans="1:5" x14ac:dyDescent="0.25">
      <c r="A1320" t="s">
        <v>486</v>
      </c>
      <c r="B1320" t="s">
        <v>60</v>
      </c>
      <c r="C1320" s="2">
        <f>HYPERLINK("https://cao.dolgi.msk.ru/account/1050600754/", 1050600754)</f>
        <v>1050600754</v>
      </c>
      <c r="D1320" s="4">
        <v>9916.17</v>
      </c>
      <c r="E1320">
        <v>2</v>
      </c>
    </row>
    <row r="1321" spans="1:5" x14ac:dyDescent="0.25">
      <c r="A1321" t="s">
        <v>486</v>
      </c>
      <c r="B1321" t="s">
        <v>62</v>
      </c>
      <c r="C1321" s="2">
        <f>HYPERLINK("https://cao.dolgi.msk.ru/account/1050600789/", 1050600789)</f>
        <v>1050600789</v>
      </c>
      <c r="D1321" s="4">
        <v>7755.17</v>
      </c>
      <c r="E1321">
        <v>1.83</v>
      </c>
    </row>
    <row r="1322" spans="1:5" x14ac:dyDescent="0.25">
      <c r="A1322" t="s">
        <v>487</v>
      </c>
      <c r="B1322" t="s">
        <v>6</v>
      </c>
      <c r="C1322" s="2">
        <f>HYPERLINK("https://cao.dolgi.msk.ru/account/1050465847/", 1050465847)</f>
        <v>1050465847</v>
      </c>
      <c r="D1322" s="4">
        <v>11245.41</v>
      </c>
      <c r="E1322">
        <v>2.17</v>
      </c>
    </row>
    <row r="1323" spans="1:5" x14ac:dyDescent="0.25">
      <c r="A1323" t="s">
        <v>487</v>
      </c>
      <c r="B1323" t="s">
        <v>27</v>
      </c>
      <c r="C1323" s="2">
        <f>HYPERLINK("https://cao.dolgi.msk.ru/account/1050463518/", 1050463518)</f>
        <v>1050463518</v>
      </c>
      <c r="D1323" s="4">
        <v>7734.06</v>
      </c>
      <c r="E1323">
        <v>1.18</v>
      </c>
    </row>
    <row r="1324" spans="1:5" x14ac:dyDescent="0.25">
      <c r="A1324" t="s">
        <v>487</v>
      </c>
      <c r="B1324" t="s">
        <v>41</v>
      </c>
      <c r="C1324" s="2">
        <f>HYPERLINK("https://cao.dolgi.msk.ru/account/1050463673/", 1050463673)</f>
        <v>1050463673</v>
      </c>
      <c r="D1324" s="4">
        <v>55761.41</v>
      </c>
      <c r="E1324">
        <v>6.78</v>
      </c>
    </row>
    <row r="1325" spans="1:5" x14ac:dyDescent="0.25">
      <c r="A1325" t="s">
        <v>487</v>
      </c>
      <c r="B1325" t="s">
        <v>48</v>
      </c>
      <c r="C1325" s="2">
        <f>HYPERLINK("https://cao.dolgi.msk.ru/account/1050463796/", 1050463796)</f>
        <v>1050463796</v>
      </c>
      <c r="D1325" s="4">
        <v>16046.54</v>
      </c>
      <c r="E1325">
        <v>2.19</v>
      </c>
    </row>
    <row r="1326" spans="1:5" x14ac:dyDescent="0.25">
      <c r="A1326" t="s">
        <v>487</v>
      </c>
      <c r="B1326" t="s">
        <v>71</v>
      </c>
      <c r="C1326" s="2">
        <f>HYPERLINK("https://cao.dolgi.msk.ru/account/1050464078/", 1050464078)</f>
        <v>1050464078</v>
      </c>
      <c r="D1326" s="4">
        <v>6162.05</v>
      </c>
      <c r="E1326">
        <v>1.01</v>
      </c>
    </row>
    <row r="1327" spans="1:5" x14ac:dyDescent="0.25">
      <c r="A1327" t="s">
        <v>487</v>
      </c>
      <c r="B1327" t="s">
        <v>100</v>
      </c>
      <c r="C1327" s="2">
        <f>HYPERLINK("https://cao.dolgi.msk.ru/account/1050464334/", 1050464334)</f>
        <v>1050464334</v>
      </c>
      <c r="D1327" s="4">
        <v>5624.78</v>
      </c>
      <c r="E1327">
        <v>1.87</v>
      </c>
    </row>
    <row r="1328" spans="1:5" x14ac:dyDescent="0.25">
      <c r="A1328" t="s">
        <v>487</v>
      </c>
      <c r="B1328" t="s">
        <v>109</v>
      </c>
      <c r="C1328" s="2">
        <f>HYPERLINK("https://cao.dolgi.msk.ru/account/1050464422/", 1050464422)</f>
        <v>1050464422</v>
      </c>
      <c r="D1328" s="4">
        <v>206407.12</v>
      </c>
      <c r="E1328">
        <v>33.9</v>
      </c>
    </row>
    <row r="1329" spans="1:5" x14ac:dyDescent="0.25">
      <c r="A1329" t="s">
        <v>487</v>
      </c>
      <c r="B1329" t="s">
        <v>117</v>
      </c>
      <c r="C1329" s="2">
        <f>HYPERLINK("https://cao.dolgi.msk.ru/account/1050464537/", 1050464537)</f>
        <v>1050464537</v>
      </c>
      <c r="D1329" s="4">
        <v>7768.03</v>
      </c>
      <c r="E1329">
        <v>1.01</v>
      </c>
    </row>
    <row r="1330" spans="1:5" x14ac:dyDescent="0.25">
      <c r="A1330" t="s">
        <v>487</v>
      </c>
      <c r="B1330" t="s">
        <v>122</v>
      </c>
      <c r="C1330" s="2">
        <f>HYPERLINK("https://cao.dolgi.msk.ru/account/1050465935/", 1050465935)</f>
        <v>1050465935</v>
      </c>
      <c r="D1330" s="4">
        <v>8193.52</v>
      </c>
      <c r="E1330">
        <v>1.94</v>
      </c>
    </row>
    <row r="1331" spans="1:5" x14ac:dyDescent="0.25">
      <c r="A1331" t="s">
        <v>487</v>
      </c>
      <c r="B1331" t="s">
        <v>146</v>
      </c>
      <c r="C1331" s="2">
        <f>HYPERLINK("https://cao.dolgi.msk.ru/account/1050464844/", 1050464844)</f>
        <v>1050464844</v>
      </c>
      <c r="D1331" s="4">
        <v>126604.72</v>
      </c>
      <c r="E1331">
        <v>19.05</v>
      </c>
    </row>
    <row r="1332" spans="1:5" x14ac:dyDescent="0.25">
      <c r="A1332" t="s">
        <v>487</v>
      </c>
      <c r="B1332" t="s">
        <v>148</v>
      </c>
      <c r="C1332" s="2">
        <f>HYPERLINK("https://cao.dolgi.msk.ru/account/1050464879/", 1050464879)</f>
        <v>1050464879</v>
      </c>
      <c r="D1332" s="4">
        <v>78031.73</v>
      </c>
      <c r="E1332">
        <v>10.01</v>
      </c>
    </row>
    <row r="1333" spans="1:5" x14ac:dyDescent="0.25">
      <c r="A1333" t="s">
        <v>487</v>
      </c>
      <c r="B1333" t="s">
        <v>196</v>
      </c>
      <c r="C1333" s="2">
        <f>HYPERLINK("https://cao.dolgi.msk.ru/account/1050465628/", 1050465628)</f>
        <v>1050465628</v>
      </c>
      <c r="D1333" s="4">
        <v>10053.34</v>
      </c>
      <c r="E1333">
        <v>1.01</v>
      </c>
    </row>
    <row r="1334" spans="1:5" x14ac:dyDescent="0.25">
      <c r="A1334" t="s">
        <v>487</v>
      </c>
      <c r="B1334" t="s">
        <v>197</v>
      </c>
      <c r="C1334" s="2">
        <f>HYPERLINK("https://cao.dolgi.msk.ru/account/1050465644/", 1050465644)</f>
        <v>1050465644</v>
      </c>
      <c r="D1334" s="4">
        <v>13456</v>
      </c>
      <c r="E1334">
        <v>2.9</v>
      </c>
    </row>
    <row r="1335" spans="1:5" x14ac:dyDescent="0.25">
      <c r="A1335" t="s">
        <v>487</v>
      </c>
      <c r="B1335" t="s">
        <v>198</v>
      </c>
      <c r="C1335" s="2">
        <f>HYPERLINK("https://cao.dolgi.msk.ru/account/1050465679/", 1050465679)</f>
        <v>1050465679</v>
      </c>
      <c r="D1335" s="4">
        <v>7103.79</v>
      </c>
      <c r="E1335">
        <v>2.41</v>
      </c>
    </row>
    <row r="1336" spans="1:5" x14ac:dyDescent="0.25">
      <c r="A1336" t="s">
        <v>487</v>
      </c>
      <c r="B1336" t="s">
        <v>203</v>
      </c>
      <c r="C1336" s="2">
        <f>HYPERLINK("https://cao.dolgi.msk.ru/account/1050465759/", 1050465759)</f>
        <v>1050465759</v>
      </c>
      <c r="D1336" s="4">
        <v>11372.81</v>
      </c>
      <c r="E1336">
        <v>1.96</v>
      </c>
    </row>
    <row r="1337" spans="1:5" x14ac:dyDescent="0.25">
      <c r="A1337" t="s">
        <v>488</v>
      </c>
      <c r="B1337" t="s">
        <v>45</v>
      </c>
      <c r="C1337" s="2">
        <f>HYPERLINK("https://cao.dolgi.msk.ru/account/1058122267/", 1058122267)</f>
        <v>1058122267</v>
      </c>
      <c r="D1337" s="4">
        <v>14596.47</v>
      </c>
      <c r="E1337">
        <v>1.81</v>
      </c>
    </row>
    <row r="1338" spans="1:5" x14ac:dyDescent="0.25">
      <c r="A1338" t="s">
        <v>488</v>
      </c>
      <c r="B1338" t="s">
        <v>55</v>
      </c>
      <c r="C1338" s="2">
        <f>HYPERLINK("https://cao.dolgi.msk.ru/account/1056023353/", 1056023353)</f>
        <v>1056023353</v>
      </c>
      <c r="D1338" s="4">
        <v>17764.23</v>
      </c>
      <c r="E1338">
        <v>2.4</v>
      </c>
    </row>
    <row r="1339" spans="1:5" x14ac:dyDescent="0.25">
      <c r="A1339" t="s">
        <v>488</v>
      </c>
      <c r="B1339" t="s">
        <v>69</v>
      </c>
      <c r="C1339" s="2">
        <f>HYPERLINK("https://cao.dolgi.msk.ru/account/1059028328/", 1059028328)</f>
        <v>1059028328</v>
      </c>
      <c r="D1339" s="4">
        <v>61474.37</v>
      </c>
      <c r="E1339">
        <v>16.690000000000001</v>
      </c>
    </row>
    <row r="1340" spans="1:5" x14ac:dyDescent="0.25">
      <c r="A1340" t="s">
        <v>488</v>
      </c>
      <c r="B1340" t="s">
        <v>96</v>
      </c>
      <c r="C1340" s="2">
        <f>HYPERLINK("https://cao.dolgi.msk.ru/account/1056023361/", 1056023361)</f>
        <v>1056023361</v>
      </c>
      <c r="D1340" s="4">
        <v>25756.14</v>
      </c>
      <c r="E1340">
        <v>3.77</v>
      </c>
    </row>
    <row r="1341" spans="1:5" x14ac:dyDescent="0.25">
      <c r="A1341" t="s">
        <v>489</v>
      </c>
      <c r="B1341" t="s">
        <v>8</v>
      </c>
      <c r="C1341" s="2">
        <f>HYPERLINK("https://cao.dolgi.msk.ru/account/1050441888/", 1050441888)</f>
        <v>1050441888</v>
      </c>
      <c r="D1341" s="4">
        <v>13753.34</v>
      </c>
      <c r="E1341">
        <v>1.3</v>
      </c>
    </row>
    <row r="1342" spans="1:5" x14ac:dyDescent="0.25">
      <c r="A1342" t="s">
        <v>489</v>
      </c>
      <c r="B1342" t="s">
        <v>16</v>
      </c>
      <c r="C1342" s="2">
        <f>HYPERLINK("https://cao.dolgi.msk.ru/account/1050441968/", 1050441968)</f>
        <v>1050441968</v>
      </c>
      <c r="D1342" s="4">
        <v>7640.36</v>
      </c>
      <c r="E1342">
        <v>1.33</v>
      </c>
    </row>
    <row r="1343" spans="1:5" x14ac:dyDescent="0.25">
      <c r="A1343" t="s">
        <v>489</v>
      </c>
      <c r="B1343" t="s">
        <v>93</v>
      </c>
      <c r="C1343" s="2">
        <f>HYPERLINK("https://cao.dolgi.msk.ru/account/1050442004/", 1050442004)</f>
        <v>1050442004</v>
      </c>
      <c r="D1343" s="4">
        <v>79890.48</v>
      </c>
      <c r="E1343">
        <v>13.08</v>
      </c>
    </row>
    <row r="1344" spans="1:5" x14ac:dyDescent="0.25">
      <c r="A1344" t="s">
        <v>489</v>
      </c>
      <c r="B1344" t="s">
        <v>37</v>
      </c>
      <c r="C1344" s="2">
        <f>HYPERLINK("https://cao.dolgi.msk.ru/account/1050442223/", 1050442223)</f>
        <v>1050442223</v>
      </c>
      <c r="D1344" s="4">
        <v>14654.04</v>
      </c>
      <c r="E1344">
        <v>2.0099999999999998</v>
      </c>
    </row>
    <row r="1345" spans="1:5" x14ac:dyDescent="0.25">
      <c r="A1345" t="s">
        <v>489</v>
      </c>
      <c r="B1345" t="s">
        <v>95</v>
      </c>
      <c r="C1345" s="2">
        <f>HYPERLINK("https://cao.dolgi.msk.ru/account/1050442397/", 1050442397)</f>
        <v>1050442397</v>
      </c>
      <c r="D1345" s="4">
        <v>13852.34</v>
      </c>
      <c r="E1345">
        <v>2</v>
      </c>
    </row>
    <row r="1346" spans="1:5" x14ac:dyDescent="0.25">
      <c r="A1346" t="s">
        <v>489</v>
      </c>
      <c r="B1346" t="s">
        <v>54</v>
      </c>
      <c r="C1346" s="2">
        <f>HYPERLINK("https://cao.dolgi.msk.ru/account/1050442506/", 1050442506)</f>
        <v>1050442506</v>
      </c>
      <c r="D1346" s="4">
        <v>102095.47</v>
      </c>
      <c r="E1346">
        <v>16.03</v>
      </c>
    </row>
    <row r="1347" spans="1:5" x14ac:dyDescent="0.25">
      <c r="A1347" t="s">
        <v>489</v>
      </c>
      <c r="B1347" t="s">
        <v>78</v>
      </c>
      <c r="C1347" s="2">
        <f>HYPERLINK("https://cao.dolgi.msk.ru/account/1050442864/", 1050442864)</f>
        <v>1050442864</v>
      </c>
      <c r="D1347" s="4">
        <v>17726.13</v>
      </c>
      <c r="E1347">
        <v>2.94</v>
      </c>
    </row>
    <row r="1348" spans="1:5" x14ac:dyDescent="0.25">
      <c r="A1348" t="s">
        <v>489</v>
      </c>
      <c r="B1348" t="s">
        <v>88</v>
      </c>
      <c r="C1348" s="2">
        <f>HYPERLINK("https://cao.dolgi.msk.ru/account/1050442936/", 1050442936)</f>
        <v>1050442936</v>
      </c>
      <c r="D1348" s="4">
        <v>15453.71</v>
      </c>
      <c r="E1348">
        <v>2.08</v>
      </c>
    </row>
    <row r="1349" spans="1:5" x14ac:dyDescent="0.25">
      <c r="A1349" t="s">
        <v>490</v>
      </c>
      <c r="B1349" t="s">
        <v>15</v>
      </c>
      <c r="C1349" s="2">
        <f>HYPERLINK("https://cao.dolgi.msk.ru/account/1050451349/", 1050451349)</f>
        <v>1050451349</v>
      </c>
      <c r="D1349" s="4">
        <v>19525.580000000002</v>
      </c>
      <c r="E1349">
        <v>2.29</v>
      </c>
    </row>
    <row r="1350" spans="1:5" x14ac:dyDescent="0.25">
      <c r="A1350" t="s">
        <v>490</v>
      </c>
      <c r="B1350" t="s">
        <v>29</v>
      </c>
      <c r="C1350" s="2">
        <f>HYPERLINK("https://cao.dolgi.msk.ru/account/1050451672/", 1050451672)</f>
        <v>1050451672</v>
      </c>
      <c r="D1350" s="4">
        <v>13159.21</v>
      </c>
      <c r="E1350">
        <v>1.84</v>
      </c>
    </row>
    <row r="1351" spans="1:5" x14ac:dyDescent="0.25">
      <c r="A1351" t="s">
        <v>491</v>
      </c>
      <c r="B1351" t="s">
        <v>12</v>
      </c>
      <c r="C1351" s="2">
        <f>HYPERLINK("https://cao.dolgi.msk.ru/account/1050452421/", 1050452421)</f>
        <v>1050452421</v>
      </c>
      <c r="D1351" s="4">
        <v>15999.66</v>
      </c>
      <c r="E1351">
        <v>1.88</v>
      </c>
    </row>
    <row r="1352" spans="1:5" x14ac:dyDescent="0.25">
      <c r="A1352" t="s">
        <v>492</v>
      </c>
      <c r="B1352" t="s">
        <v>10</v>
      </c>
      <c r="C1352" s="2">
        <f>HYPERLINK("https://cao.dolgi.msk.ru/account/1050453504/", 1050453504)</f>
        <v>1050453504</v>
      </c>
      <c r="D1352" s="4">
        <v>42395.08</v>
      </c>
      <c r="E1352">
        <v>11</v>
      </c>
    </row>
    <row r="1353" spans="1:5" x14ac:dyDescent="0.25">
      <c r="A1353" t="s">
        <v>492</v>
      </c>
      <c r="B1353" t="s">
        <v>26</v>
      </c>
      <c r="C1353" s="2">
        <f>HYPERLINK("https://cao.dolgi.msk.ru/account/1050453774/", 1050453774)</f>
        <v>1050453774</v>
      </c>
      <c r="D1353" s="4">
        <v>19778.71</v>
      </c>
      <c r="E1353">
        <v>1.9</v>
      </c>
    </row>
    <row r="1354" spans="1:5" x14ac:dyDescent="0.25">
      <c r="A1354" t="s">
        <v>493</v>
      </c>
      <c r="B1354" t="s">
        <v>7</v>
      </c>
      <c r="C1354" s="2">
        <f>HYPERLINK("https://cao.dolgi.msk.ru/account/1058201096/", 1058201096)</f>
        <v>1058201096</v>
      </c>
      <c r="D1354" s="4">
        <v>13538.77</v>
      </c>
      <c r="E1354">
        <v>2.67</v>
      </c>
    </row>
    <row r="1355" spans="1:5" x14ac:dyDescent="0.25">
      <c r="A1355" t="s">
        <v>493</v>
      </c>
      <c r="B1355" t="s">
        <v>70</v>
      </c>
      <c r="C1355" s="2">
        <f>HYPERLINK("https://cao.dolgi.msk.ru/account/1058195554/", 1058195554)</f>
        <v>1058195554</v>
      </c>
      <c r="D1355" s="4">
        <v>18532.55</v>
      </c>
      <c r="E1355">
        <v>4.09</v>
      </c>
    </row>
    <row r="1356" spans="1:5" x14ac:dyDescent="0.25">
      <c r="A1356" t="s">
        <v>493</v>
      </c>
      <c r="B1356" t="s">
        <v>99</v>
      </c>
      <c r="C1356" s="2">
        <f>HYPERLINK("https://cao.dolgi.msk.ru/account/1058175983/", 1058175983)</f>
        <v>1058175983</v>
      </c>
      <c r="D1356" s="4">
        <v>8929.48</v>
      </c>
      <c r="E1356">
        <v>2.16</v>
      </c>
    </row>
    <row r="1357" spans="1:5" x14ac:dyDescent="0.25">
      <c r="A1357" t="s">
        <v>493</v>
      </c>
      <c r="B1357" t="s">
        <v>101</v>
      </c>
      <c r="C1357" s="2">
        <f>HYPERLINK("https://cao.dolgi.msk.ru/account/1058195757/", 1058195757)</f>
        <v>1058195757</v>
      </c>
      <c r="D1357" s="4">
        <v>31600.04</v>
      </c>
      <c r="E1357">
        <v>6.69</v>
      </c>
    </row>
    <row r="1358" spans="1:5" x14ac:dyDescent="0.25">
      <c r="A1358" t="s">
        <v>493</v>
      </c>
      <c r="B1358" t="s">
        <v>105</v>
      </c>
      <c r="C1358" s="2">
        <f>HYPERLINK("https://cao.dolgi.msk.ru/account/1058195001/", 1058195001)</f>
        <v>1058195001</v>
      </c>
      <c r="D1358" s="4">
        <v>13273.79</v>
      </c>
      <c r="E1358">
        <v>2.2000000000000002</v>
      </c>
    </row>
    <row r="1359" spans="1:5" x14ac:dyDescent="0.25">
      <c r="A1359" t="s">
        <v>493</v>
      </c>
      <c r="B1359" t="s">
        <v>116</v>
      </c>
      <c r="C1359" s="2">
        <f>HYPERLINK("https://cao.dolgi.msk.ru/account/1058177946/", 1058177946)</f>
        <v>1058177946</v>
      </c>
      <c r="D1359" s="4">
        <v>14868.47</v>
      </c>
      <c r="E1359">
        <v>2.14</v>
      </c>
    </row>
    <row r="1360" spans="1:5" x14ac:dyDescent="0.25">
      <c r="A1360" t="s">
        <v>493</v>
      </c>
      <c r="B1360" t="s">
        <v>132</v>
      </c>
      <c r="C1360" s="2">
        <f>HYPERLINK("https://cao.dolgi.msk.ru/account/1058178025/", 1058178025)</f>
        <v>1058178025</v>
      </c>
      <c r="D1360" s="4">
        <v>12129.77</v>
      </c>
      <c r="E1360">
        <v>2.0699999999999998</v>
      </c>
    </row>
    <row r="1361" spans="1:5" x14ac:dyDescent="0.25">
      <c r="A1361" t="s">
        <v>493</v>
      </c>
      <c r="B1361" t="s">
        <v>160</v>
      </c>
      <c r="C1361" s="2">
        <f>HYPERLINK("https://cao.dolgi.msk.ru/account/1058184601/", 1058184601)</f>
        <v>1058184601</v>
      </c>
      <c r="D1361" s="4">
        <v>8437.09</v>
      </c>
      <c r="E1361">
        <v>1.29</v>
      </c>
    </row>
    <row r="1362" spans="1:5" x14ac:dyDescent="0.25">
      <c r="A1362" t="s">
        <v>493</v>
      </c>
      <c r="B1362" t="s">
        <v>182</v>
      </c>
      <c r="C1362" s="2">
        <f>HYPERLINK("https://cao.dolgi.msk.ru/account/1058191131/", 1058191131)</f>
        <v>1058191131</v>
      </c>
      <c r="D1362" s="4">
        <v>15424.13</v>
      </c>
      <c r="E1362">
        <v>2.9</v>
      </c>
    </row>
    <row r="1363" spans="1:5" x14ac:dyDescent="0.25">
      <c r="A1363" t="s">
        <v>493</v>
      </c>
      <c r="B1363" t="s">
        <v>183</v>
      </c>
      <c r="C1363" s="2">
        <f>HYPERLINK("https://cao.dolgi.msk.ru/account/1058176767/", 1058176767)</f>
        <v>1058176767</v>
      </c>
      <c r="D1363" s="4">
        <v>26431.45</v>
      </c>
      <c r="E1363">
        <v>3.82</v>
      </c>
    </row>
    <row r="1364" spans="1:5" x14ac:dyDescent="0.25">
      <c r="A1364" t="s">
        <v>493</v>
      </c>
      <c r="B1364" t="s">
        <v>198</v>
      </c>
      <c r="C1364" s="2">
        <f>HYPERLINK("https://cao.dolgi.msk.ru/account/1058175211/", 1058175211)</f>
        <v>1058175211</v>
      </c>
      <c r="D1364" s="4">
        <v>12104.28</v>
      </c>
      <c r="E1364">
        <v>2.09</v>
      </c>
    </row>
    <row r="1365" spans="1:5" x14ac:dyDescent="0.25">
      <c r="A1365" t="s">
        <v>493</v>
      </c>
      <c r="B1365" t="s">
        <v>209</v>
      </c>
      <c r="C1365" s="2">
        <f>HYPERLINK("https://cao.dolgi.msk.ru/account/1058172459/", 1058172459)</f>
        <v>1058172459</v>
      </c>
      <c r="D1365" s="4">
        <v>5842.65</v>
      </c>
      <c r="E1365">
        <v>1.35</v>
      </c>
    </row>
    <row r="1366" spans="1:5" x14ac:dyDescent="0.25">
      <c r="A1366" t="s">
        <v>493</v>
      </c>
      <c r="B1366" t="s">
        <v>211</v>
      </c>
      <c r="C1366" s="2">
        <f>HYPERLINK("https://cao.dolgi.msk.ru/account/1058192759/", 1058192759)</f>
        <v>1058192759</v>
      </c>
      <c r="D1366" s="4">
        <v>8319.23</v>
      </c>
      <c r="E1366">
        <v>2.2599999999999998</v>
      </c>
    </row>
    <row r="1367" spans="1:5" x14ac:dyDescent="0.25">
      <c r="A1367" t="s">
        <v>493</v>
      </c>
      <c r="B1367" t="s">
        <v>213</v>
      </c>
      <c r="C1367" s="2">
        <f>HYPERLINK("https://cao.dolgi.msk.ru/account/1058198771/", 1058198771)</f>
        <v>1058198771</v>
      </c>
      <c r="D1367" s="4">
        <v>10039.09</v>
      </c>
      <c r="E1367">
        <v>2.41</v>
      </c>
    </row>
    <row r="1368" spans="1:5" x14ac:dyDescent="0.25">
      <c r="A1368" t="s">
        <v>493</v>
      </c>
      <c r="B1368" t="s">
        <v>214</v>
      </c>
      <c r="C1368" s="2">
        <f>HYPERLINK("https://cao.dolgi.msk.ru/account/1058176628/", 1058176628)</f>
        <v>1058176628</v>
      </c>
      <c r="D1368" s="4">
        <v>29271.439999999999</v>
      </c>
      <c r="E1368">
        <v>3.05</v>
      </c>
    </row>
    <row r="1369" spans="1:5" x14ac:dyDescent="0.25">
      <c r="A1369" t="s">
        <v>493</v>
      </c>
      <c r="B1369" t="s">
        <v>217</v>
      </c>
      <c r="C1369" s="2">
        <f>HYPERLINK("https://cao.dolgi.msk.ru/account/1058189381/", 1058189381)</f>
        <v>1058189381</v>
      </c>
      <c r="D1369" s="4">
        <v>20287.86</v>
      </c>
      <c r="E1369">
        <v>4.7300000000000004</v>
      </c>
    </row>
    <row r="1370" spans="1:5" x14ac:dyDescent="0.25">
      <c r="A1370" t="s">
        <v>493</v>
      </c>
      <c r="B1370" t="s">
        <v>218</v>
      </c>
      <c r="C1370" s="2">
        <f>HYPERLINK("https://cao.dolgi.msk.ru/account/1058189242/", 1058189242)</f>
        <v>1058189242</v>
      </c>
      <c r="D1370" s="4">
        <v>7362.7</v>
      </c>
      <c r="E1370">
        <v>2</v>
      </c>
    </row>
    <row r="1371" spans="1:5" x14ac:dyDescent="0.25">
      <c r="A1371" t="s">
        <v>493</v>
      </c>
      <c r="B1371" t="s">
        <v>279</v>
      </c>
      <c r="C1371" s="2">
        <f>HYPERLINK("https://cao.dolgi.msk.ru/account/1058195589/", 1058195589)</f>
        <v>1058195589</v>
      </c>
      <c r="D1371" s="4">
        <v>19890.509999999998</v>
      </c>
      <c r="E1371">
        <v>2.31</v>
      </c>
    </row>
    <row r="1372" spans="1:5" x14ac:dyDescent="0.25">
      <c r="A1372" t="s">
        <v>493</v>
      </c>
      <c r="B1372" t="s">
        <v>281</v>
      </c>
      <c r="C1372" s="2">
        <f>HYPERLINK("https://cao.dolgi.msk.ru/account/1058190104/", 1058190104)</f>
        <v>1058190104</v>
      </c>
      <c r="D1372" s="4">
        <v>5503.43</v>
      </c>
      <c r="E1372">
        <v>1.19</v>
      </c>
    </row>
    <row r="1373" spans="1:5" x14ac:dyDescent="0.25">
      <c r="A1373" t="s">
        <v>493</v>
      </c>
      <c r="B1373" t="s">
        <v>282</v>
      </c>
      <c r="C1373" s="2">
        <f>HYPERLINK("https://cao.dolgi.msk.ru/account/1058184767/", 1058184767)</f>
        <v>1058184767</v>
      </c>
      <c r="D1373" s="4">
        <v>6367.98</v>
      </c>
      <c r="E1373">
        <v>1.07</v>
      </c>
    </row>
    <row r="1374" spans="1:5" x14ac:dyDescent="0.25">
      <c r="A1374" t="s">
        <v>493</v>
      </c>
      <c r="B1374" t="s">
        <v>286</v>
      </c>
      <c r="C1374" s="2">
        <f>HYPERLINK("https://cao.dolgi.msk.ru/account/1058186324/", 1058186324)</f>
        <v>1058186324</v>
      </c>
      <c r="D1374" s="4">
        <v>18851.54</v>
      </c>
      <c r="E1374">
        <v>2.0299999999999998</v>
      </c>
    </row>
    <row r="1375" spans="1:5" x14ac:dyDescent="0.25">
      <c r="A1375" t="s">
        <v>493</v>
      </c>
      <c r="B1375" t="s">
        <v>288</v>
      </c>
      <c r="C1375" s="2">
        <f>HYPERLINK("https://cao.dolgi.msk.ru/account/1058177073/", 1058177073)</f>
        <v>1058177073</v>
      </c>
      <c r="D1375" s="4">
        <v>5354.55</v>
      </c>
      <c r="E1375">
        <v>1.41</v>
      </c>
    </row>
    <row r="1376" spans="1:5" x14ac:dyDescent="0.25">
      <c r="A1376" t="s">
        <v>493</v>
      </c>
      <c r="B1376" t="s">
        <v>289</v>
      </c>
      <c r="C1376" s="2">
        <f>HYPERLINK("https://cao.dolgi.msk.ru/account/1058200931/", 1058200931)</f>
        <v>1058200931</v>
      </c>
      <c r="D1376" s="4">
        <v>52177.29</v>
      </c>
      <c r="E1376">
        <v>7.91</v>
      </c>
    </row>
    <row r="1377" spans="1:5" x14ac:dyDescent="0.25">
      <c r="A1377" t="s">
        <v>493</v>
      </c>
      <c r="B1377" t="s">
        <v>290</v>
      </c>
      <c r="C1377" s="2">
        <f>HYPERLINK("https://cao.dolgi.msk.ru/account/1058183916/", 1058183916)</f>
        <v>1058183916</v>
      </c>
      <c r="D1377" s="4">
        <v>21433.88</v>
      </c>
      <c r="E1377">
        <v>2.78</v>
      </c>
    </row>
    <row r="1378" spans="1:5" x14ac:dyDescent="0.25">
      <c r="A1378" t="s">
        <v>493</v>
      </c>
      <c r="B1378" t="s">
        <v>450</v>
      </c>
      <c r="C1378" s="2">
        <f>HYPERLINK("https://cao.dolgi.msk.ru/account/1058191609/", 1058191609)</f>
        <v>1058191609</v>
      </c>
      <c r="D1378" s="4">
        <v>5743.16</v>
      </c>
      <c r="E1378">
        <v>1.07</v>
      </c>
    </row>
    <row r="1379" spans="1:5" x14ac:dyDescent="0.25">
      <c r="A1379" t="s">
        <v>493</v>
      </c>
      <c r="B1379" t="s">
        <v>454</v>
      </c>
      <c r="C1379" s="2">
        <f>HYPERLINK("https://cao.dolgi.msk.ru/account/1058176265/", 1058176265)</f>
        <v>1058176265</v>
      </c>
      <c r="D1379" s="4">
        <v>12791.44</v>
      </c>
      <c r="E1379">
        <v>2.09</v>
      </c>
    </row>
    <row r="1380" spans="1:5" x14ac:dyDescent="0.25">
      <c r="A1380" t="s">
        <v>493</v>
      </c>
      <c r="B1380" t="s">
        <v>494</v>
      </c>
      <c r="C1380" s="2">
        <f>HYPERLINK("https://cao.dolgi.msk.ru/account/1058192345/", 1058192345)</f>
        <v>1058192345</v>
      </c>
      <c r="D1380" s="4">
        <v>11375.24</v>
      </c>
      <c r="E1380">
        <v>2.09</v>
      </c>
    </row>
    <row r="1381" spans="1:5" x14ac:dyDescent="0.25">
      <c r="A1381" t="s">
        <v>493</v>
      </c>
      <c r="B1381" t="s">
        <v>495</v>
      </c>
      <c r="C1381" s="2">
        <f>HYPERLINK("https://cao.dolgi.msk.ru/account/1058184011/", 1058184011)</f>
        <v>1058184011</v>
      </c>
      <c r="D1381" s="4">
        <v>9620.67</v>
      </c>
      <c r="E1381">
        <v>1.81</v>
      </c>
    </row>
    <row r="1382" spans="1:5" x14ac:dyDescent="0.25">
      <c r="A1382" t="s">
        <v>493</v>
      </c>
      <c r="B1382" t="s">
        <v>496</v>
      </c>
      <c r="C1382" s="2">
        <f>HYPERLINK("https://cao.dolgi.msk.ru/account/1058172328/", 1058172328)</f>
        <v>1058172328</v>
      </c>
      <c r="D1382" s="4">
        <v>5155.8500000000004</v>
      </c>
      <c r="E1382">
        <v>1.28</v>
      </c>
    </row>
    <row r="1383" spans="1:5" x14ac:dyDescent="0.25">
      <c r="A1383" t="s">
        <v>493</v>
      </c>
      <c r="B1383" t="s">
        <v>497</v>
      </c>
      <c r="C1383" s="2">
        <f>HYPERLINK("https://cao.dolgi.msk.ru/account/1058191406/", 1058191406)</f>
        <v>1058191406</v>
      </c>
      <c r="D1383" s="4">
        <v>19588.150000000001</v>
      </c>
      <c r="E1383">
        <v>3.86</v>
      </c>
    </row>
    <row r="1384" spans="1:5" x14ac:dyDescent="0.25">
      <c r="A1384" t="s">
        <v>493</v>
      </c>
      <c r="B1384" t="s">
        <v>498</v>
      </c>
      <c r="C1384" s="2">
        <f>HYPERLINK("https://cao.dolgi.msk.ru/account/1058188362/", 1058188362)</f>
        <v>1058188362</v>
      </c>
      <c r="D1384" s="4">
        <v>30482.65</v>
      </c>
      <c r="E1384">
        <v>5.72</v>
      </c>
    </row>
    <row r="1385" spans="1:5" x14ac:dyDescent="0.25">
      <c r="A1385" t="s">
        <v>493</v>
      </c>
      <c r="B1385" t="s">
        <v>499</v>
      </c>
      <c r="C1385" s="2">
        <f>HYPERLINK("https://cao.dolgi.msk.ru/account/1058200923/", 1058200923)</f>
        <v>1058200923</v>
      </c>
      <c r="D1385" s="4">
        <v>95657.14</v>
      </c>
      <c r="E1385">
        <v>13.12</v>
      </c>
    </row>
    <row r="1386" spans="1:5" x14ac:dyDescent="0.25">
      <c r="A1386" t="s">
        <v>493</v>
      </c>
      <c r="B1386" t="s">
        <v>500</v>
      </c>
      <c r="C1386" s="2">
        <f>HYPERLINK("https://cao.dolgi.msk.ru/account/1058173232/", 1058173232)</f>
        <v>1058173232</v>
      </c>
      <c r="D1386" s="4">
        <v>7525.97</v>
      </c>
      <c r="E1386">
        <v>1.78</v>
      </c>
    </row>
    <row r="1387" spans="1:5" x14ac:dyDescent="0.25">
      <c r="A1387" t="s">
        <v>493</v>
      </c>
      <c r="B1387" t="s">
        <v>501</v>
      </c>
      <c r="C1387" s="2">
        <f>HYPERLINK("https://cao.dolgi.msk.ru/account/1058186439/", 1058186439)</f>
        <v>1058186439</v>
      </c>
      <c r="D1387" s="4">
        <v>10024.77</v>
      </c>
      <c r="E1387">
        <v>3.01</v>
      </c>
    </row>
    <row r="1388" spans="1:5" x14ac:dyDescent="0.25">
      <c r="A1388" t="s">
        <v>493</v>
      </c>
      <c r="B1388" t="s">
        <v>502</v>
      </c>
      <c r="C1388" s="2">
        <f>HYPERLINK("https://cao.dolgi.msk.ru/account/1058176943/", 1058176943)</f>
        <v>1058176943</v>
      </c>
      <c r="D1388" s="4">
        <v>5141.6099999999997</v>
      </c>
      <c r="E1388">
        <v>1.24</v>
      </c>
    </row>
    <row r="1389" spans="1:5" x14ac:dyDescent="0.25">
      <c r="A1389" t="s">
        <v>493</v>
      </c>
      <c r="B1389" t="s">
        <v>503</v>
      </c>
      <c r="C1389" s="2">
        <f>HYPERLINK("https://cao.dolgi.msk.ru/account/1058191959/", 1058191959)</f>
        <v>1058191959</v>
      </c>
      <c r="D1389" s="4">
        <v>32971.29</v>
      </c>
      <c r="E1389">
        <v>3.3</v>
      </c>
    </row>
    <row r="1390" spans="1:5" x14ac:dyDescent="0.25">
      <c r="A1390" t="s">
        <v>493</v>
      </c>
      <c r="B1390" t="s">
        <v>504</v>
      </c>
      <c r="C1390" s="2">
        <f>HYPERLINK("https://cao.dolgi.msk.ru/account/1058191238/", 1058191238)</f>
        <v>1058191238</v>
      </c>
      <c r="D1390" s="4">
        <v>10469.98</v>
      </c>
      <c r="E1390">
        <v>1.97</v>
      </c>
    </row>
    <row r="1391" spans="1:5" x14ac:dyDescent="0.25">
      <c r="A1391" t="s">
        <v>493</v>
      </c>
      <c r="B1391" t="s">
        <v>505</v>
      </c>
      <c r="C1391" s="2">
        <f>HYPERLINK("https://cao.dolgi.msk.ru/account/1058174614/", 1058174614)</f>
        <v>1058174614</v>
      </c>
      <c r="D1391" s="4">
        <v>10004.299999999999</v>
      </c>
      <c r="E1391">
        <v>2.02</v>
      </c>
    </row>
    <row r="1392" spans="1:5" x14ac:dyDescent="0.25">
      <c r="A1392" t="s">
        <v>493</v>
      </c>
      <c r="B1392" t="s">
        <v>506</v>
      </c>
      <c r="C1392" s="2">
        <f>HYPERLINK("https://cao.dolgi.msk.ru/account/1058198915/", 1058198915)</f>
        <v>1058198915</v>
      </c>
      <c r="D1392" s="4">
        <v>11164.17</v>
      </c>
      <c r="E1392">
        <v>1.98</v>
      </c>
    </row>
    <row r="1393" spans="1:5" x14ac:dyDescent="0.25">
      <c r="A1393" t="s">
        <v>493</v>
      </c>
      <c r="B1393" t="s">
        <v>507</v>
      </c>
      <c r="C1393" s="2">
        <f>HYPERLINK("https://cao.dolgi.msk.ru/account/1058192222/", 1058192222)</f>
        <v>1058192222</v>
      </c>
      <c r="D1393" s="4">
        <v>8734.7000000000007</v>
      </c>
      <c r="E1393">
        <v>2</v>
      </c>
    </row>
    <row r="1394" spans="1:5" x14ac:dyDescent="0.25">
      <c r="A1394" t="s">
        <v>493</v>
      </c>
      <c r="B1394" t="s">
        <v>508</v>
      </c>
      <c r="C1394" s="2">
        <f>HYPERLINK("https://cao.dolgi.msk.ru/account/1058198536/", 1058198536)</f>
        <v>1058198536</v>
      </c>
      <c r="D1394" s="4">
        <v>6796.43</v>
      </c>
      <c r="E1394">
        <v>2.2799999999999998</v>
      </c>
    </row>
    <row r="1395" spans="1:5" x14ac:dyDescent="0.25">
      <c r="A1395" t="s">
        <v>493</v>
      </c>
      <c r="B1395" t="s">
        <v>509</v>
      </c>
      <c r="C1395" s="2">
        <f>HYPERLINK("https://cao.dolgi.msk.ru/account/1058198843/", 1058198843)</f>
        <v>1058198843</v>
      </c>
      <c r="D1395" s="4">
        <v>18006.45</v>
      </c>
      <c r="E1395">
        <v>2.5299999999999998</v>
      </c>
    </row>
    <row r="1396" spans="1:5" x14ac:dyDescent="0.25">
      <c r="A1396" t="s">
        <v>493</v>
      </c>
      <c r="B1396" t="s">
        <v>510</v>
      </c>
      <c r="C1396" s="2">
        <f>HYPERLINK("https://cao.dolgi.msk.ru/account/1058173793/", 1058173793)</f>
        <v>1058173793</v>
      </c>
      <c r="D1396" s="4">
        <v>7658</v>
      </c>
      <c r="E1396">
        <v>2.08</v>
      </c>
    </row>
    <row r="1397" spans="1:5" x14ac:dyDescent="0.25">
      <c r="A1397" t="s">
        <v>493</v>
      </c>
      <c r="B1397" t="s">
        <v>511</v>
      </c>
      <c r="C1397" s="2">
        <f>HYPERLINK("https://cao.dolgi.msk.ru/account/1058195861/", 1058195861)</f>
        <v>1058195861</v>
      </c>
      <c r="D1397" s="4">
        <v>33663.589999999997</v>
      </c>
      <c r="E1397">
        <v>3.8</v>
      </c>
    </row>
    <row r="1398" spans="1:5" x14ac:dyDescent="0.25">
      <c r="A1398" t="s">
        <v>493</v>
      </c>
      <c r="B1398" t="s">
        <v>512</v>
      </c>
      <c r="C1398" s="2">
        <f>HYPERLINK("https://cao.dolgi.msk.ru/account/1058197736/", 1058197736)</f>
        <v>1058197736</v>
      </c>
      <c r="D1398" s="4">
        <v>55729.02</v>
      </c>
      <c r="E1398">
        <v>6.45</v>
      </c>
    </row>
    <row r="1399" spans="1:5" x14ac:dyDescent="0.25">
      <c r="A1399" t="s">
        <v>493</v>
      </c>
      <c r="B1399" t="s">
        <v>513</v>
      </c>
      <c r="C1399" s="2">
        <f>HYPERLINK("https://cao.dolgi.msk.ru/account/1058173937/", 1058173937)</f>
        <v>1058173937</v>
      </c>
      <c r="D1399" s="4">
        <v>23181.77</v>
      </c>
      <c r="E1399">
        <v>2.0499999999999998</v>
      </c>
    </row>
    <row r="1400" spans="1:5" x14ac:dyDescent="0.25">
      <c r="A1400" t="s">
        <v>493</v>
      </c>
      <c r="B1400" t="s">
        <v>514</v>
      </c>
      <c r="C1400" s="2">
        <f>HYPERLINK("https://cao.dolgi.msk.ru/account/1058186746/", 1058186746)</f>
        <v>1058186746</v>
      </c>
      <c r="D1400" s="4">
        <v>9680.01</v>
      </c>
      <c r="E1400">
        <v>2</v>
      </c>
    </row>
    <row r="1401" spans="1:5" x14ac:dyDescent="0.25">
      <c r="A1401" t="s">
        <v>493</v>
      </c>
      <c r="B1401" t="s">
        <v>515</v>
      </c>
      <c r="C1401" s="2">
        <f>HYPERLINK("https://cao.dolgi.msk.ru/account/1058172686/", 1058172686)</f>
        <v>1058172686</v>
      </c>
      <c r="D1401" s="4">
        <v>14168.63</v>
      </c>
      <c r="E1401">
        <v>1.9</v>
      </c>
    </row>
    <row r="1402" spans="1:5" x14ac:dyDescent="0.25">
      <c r="A1402" t="s">
        <v>493</v>
      </c>
      <c r="B1402" t="s">
        <v>516</v>
      </c>
      <c r="C1402" s="2">
        <f>HYPERLINK("https://cao.dolgi.msk.ru/account/1058185815/", 1058185815)</f>
        <v>1058185815</v>
      </c>
      <c r="D1402" s="4">
        <v>7353.17</v>
      </c>
      <c r="E1402">
        <v>1.51</v>
      </c>
    </row>
    <row r="1403" spans="1:5" x14ac:dyDescent="0.25">
      <c r="A1403" t="s">
        <v>493</v>
      </c>
      <c r="B1403" t="s">
        <v>517</v>
      </c>
      <c r="C1403" s="2">
        <f>HYPERLINK("https://cao.dolgi.msk.ru/account/1058183131/", 1058183131)</f>
        <v>1058183131</v>
      </c>
      <c r="D1403" s="4">
        <v>14859.81</v>
      </c>
      <c r="E1403">
        <v>2.0499999999999998</v>
      </c>
    </row>
    <row r="1404" spans="1:5" x14ac:dyDescent="0.25">
      <c r="A1404" t="s">
        <v>493</v>
      </c>
      <c r="B1404" t="s">
        <v>518</v>
      </c>
      <c r="C1404" s="2">
        <f>HYPERLINK("https://cao.dolgi.msk.ru/account/1058185188/", 1058185188)</f>
        <v>1058185188</v>
      </c>
      <c r="D1404" s="4">
        <v>7314.67</v>
      </c>
      <c r="E1404">
        <v>2.2000000000000002</v>
      </c>
    </row>
    <row r="1405" spans="1:5" x14ac:dyDescent="0.25">
      <c r="A1405" t="s">
        <v>493</v>
      </c>
      <c r="B1405" t="s">
        <v>519</v>
      </c>
      <c r="C1405" s="2">
        <f>HYPERLINK("https://cao.dolgi.msk.ru/account/1058185292/", 1058185292)</f>
        <v>1058185292</v>
      </c>
      <c r="D1405" s="4">
        <v>12521.18</v>
      </c>
      <c r="E1405">
        <v>2</v>
      </c>
    </row>
    <row r="1406" spans="1:5" x14ac:dyDescent="0.25">
      <c r="A1406" t="s">
        <v>493</v>
      </c>
      <c r="B1406" t="s">
        <v>520</v>
      </c>
      <c r="C1406" s="2">
        <f>HYPERLINK("https://cao.dolgi.msk.ru/account/1058174964/", 1058174964)</f>
        <v>1058174964</v>
      </c>
      <c r="D1406" s="4">
        <v>24551.03</v>
      </c>
      <c r="E1406">
        <v>2.11</v>
      </c>
    </row>
    <row r="1407" spans="1:5" x14ac:dyDescent="0.25">
      <c r="A1407" t="s">
        <v>493</v>
      </c>
      <c r="B1407" t="s">
        <v>521</v>
      </c>
      <c r="C1407" s="2">
        <f>HYPERLINK("https://cao.dolgi.msk.ru/account/1058186121/", 1058186121)</f>
        <v>1058186121</v>
      </c>
      <c r="D1407" s="4">
        <v>14289.92</v>
      </c>
      <c r="E1407">
        <v>2.04</v>
      </c>
    </row>
    <row r="1408" spans="1:5" x14ac:dyDescent="0.25">
      <c r="A1408" t="s">
        <v>493</v>
      </c>
      <c r="B1408" t="s">
        <v>522</v>
      </c>
      <c r="C1408" s="2">
        <f>HYPERLINK("https://cao.dolgi.msk.ru/account/1058190665/", 1058190665)</f>
        <v>1058190665</v>
      </c>
      <c r="D1408" s="4">
        <v>19813.150000000001</v>
      </c>
      <c r="E1408">
        <v>3.4</v>
      </c>
    </row>
    <row r="1409" spans="1:5" x14ac:dyDescent="0.25">
      <c r="A1409" t="s">
        <v>493</v>
      </c>
      <c r="B1409" t="s">
        <v>523</v>
      </c>
      <c r="C1409" s="2">
        <f>HYPERLINK("https://cao.dolgi.msk.ru/account/1058198579/", 1058198579)</f>
        <v>1058198579</v>
      </c>
      <c r="D1409" s="4">
        <v>39668.050000000003</v>
      </c>
      <c r="E1409">
        <v>7.22</v>
      </c>
    </row>
    <row r="1410" spans="1:5" x14ac:dyDescent="0.25">
      <c r="A1410" t="s">
        <v>493</v>
      </c>
      <c r="B1410" t="s">
        <v>524</v>
      </c>
      <c r="C1410" s="2">
        <f>HYPERLINK("https://cao.dolgi.msk.ru/account/1058175924/", 1058175924)</f>
        <v>1058175924</v>
      </c>
      <c r="D1410" s="4">
        <v>15012.28</v>
      </c>
      <c r="E1410">
        <v>2</v>
      </c>
    </row>
    <row r="1411" spans="1:5" x14ac:dyDescent="0.25">
      <c r="A1411" t="s">
        <v>493</v>
      </c>
      <c r="B1411" t="s">
        <v>525</v>
      </c>
      <c r="C1411" s="2">
        <f>HYPERLINK("https://cao.dolgi.msk.ru/account/1058185081/", 1058185081)</f>
        <v>1058185081</v>
      </c>
      <c r="D1411" s="4">
        <v>7134.38</v>
      </c>
      <c r="E1411">
        <v>1.02</v>
      </c>
    </row>
    <row r="1412" spans="1:5" x14ac:dyDescent="0.25">
      <c r="A1412" t="s">
        <v>493</v>
      </c>
      <c r="B1412" t="s">
        <v>526</v>
      </c>
      <c r="C1412" s="2">
        <f>HYPERLINK("https://cao.dolgi.msk.ru/account/1058195052/", 1058195052)</f>
        <v>1058195052</v>
      </c>
      <c r="D1412" s="4">
        <v>139893.88</v>
      </c>
      <c r="E1412">
        <v>9.2100000000000009</v>
      </c>
    </row>
    <row r="1413" spans="1:5" x14ac:dyDescent="0.25">
      <c r="A1413" t="s">
        <v>493</v>
      </c>
      <c r="B1413" t="s">
        <v>527</v>
      </c>
      <c r="C1413" s="2">
        <f>HYPERLINK("https://cao.dolgi.msk.ru/account/1058186623/", 1058186623)</f>
        <v>1058186623</v>
      </c>
      <c r="D1413" s="4">
        <v>15052.77</v>
      </c>
      <c r="E1413">
        <v>1.51</v>
      </c>
    </row>
    <row r="1414" spans="1:5" x14ac:dyDescent="0.25">
      <c r="A1414" t="s">
        <v>493</v>
      </c>
      <c r="B1414" t="s">
        <v>528</v>
      </c>
      <c r="C1414" s="2">
        <f>HYPERLINK("https://cao.dolgi.msk.ru/account/1058173267/", 1058173267)</f>
        <v>1058173267</v>
      </c>
      <c r="D1414" s="4">
        <v>11357.81</v>
      </c>
      <c r="E1414">
        <v>1.86</v>
      </c>
    </row>
    <row r="1415" spans="1:5" x14ac:dyDescent="0.25">
      <c r="A1415" t="s">
        <v>493</v>
      </c>
      <c r="B1415" t="s">
        <v>529</v>
      </c>
      <c r="C1415" s="2">
        <f>HYPERLINK("https://cao.dolgi.msk.ru/account/1058174438/", 1058174438)</f>
        <v>1058174438</v>
      </c>
      <c r="D1415" s="4">
        <v>24246.35</v>
      </c>
      <c r="E1415">
        <v>3.11</v>
      </c>
    </row>
    <row r="1416" spans="1:5" x14ac:dyDescent="0.25">
      <c r="A1416" t="s">
        <v>493</v>
      </c>
      <c r="B1416" t="s">
        <v>530</v>
      </c>
      <c r="C1416" s="2">
        <f>HYPERLINK("https://cao.dolgi.msk.ru/account/1058188645/", 1058188645)</f>
        <v>1058188645</v>
      </c>
      <c r="D1416" s="4">
        <v>6728.79</v>
      </c>
      <c r="E1416">
        <v>1.8</v>
      </c>
    </row>
    <row r="1417" spans="1:5" x14ac:dyDescent="0.25">
      <c r="A1417" t="s">
        <v>493</v>
      </c>
      <c r="B1417" t="s">
        <v>531</v>
      </c>
      <c r="C1417" s="2">
        <f>HYPERLINK("https://cao.dolgi.msk.ru/account/1058174948/", 1058174948)</f>
        <v>1058174948</v>
      </c>
      <c r="D1417" s="4">
        <v>14406.46</v>
      </c>
      <c r="E1417">
        <v>3</v>
      </c>
    </row>
    <row r="1418" spans="1:5" x14ac:dyDescent="0.25">
      <c r="A1418" t="s">
        <v>493</v>
      </c>
      <c r="B1418" t="s">
        <v>532</v>
      </c>
      <c r="C1418" s="2">
        <f>HYPERLINK("https://cao.dolgi.msk.ru/account/1058176783/", 1058176783)</f>
        <v>1058176783</v>
      </c>
      <c r="D1418" s="4">
        <v>11147.87</v>
      </c>
      <c r="E1418">
        <v>1.94</v>
      </c>
    </row>
    <row r="1419" spans="1:5" x14ac:dyDescent="0.25">
      <c r="A1419" t="s">
        <v>493</v>
      </c>
      <c r="B1419" t="s">
        <v>533</v>
      </c>
      <c r="C1419" s="2">
        <f>HYPERLINK("https://cao.dolgi.msk.ru/account/1058190542/", 1058190542)</f>
        <v>1058190542</v>
      </c>
      <c r="D1419" s="4">
        <v>5786.13</v>
      </c>
      <c r="E1419">
        <v>1.41</v>
      </c>
    </row>
    <row r="1420" spans="1:5" x14ac:dyDescent="0.25">
      <c r="A1420" t="s">
        <v>493</v>
      </c>
      <c r="B1420" t="s">
        <v>534</v>
      </c>
      <c r="C1420" s="2">
        <f>HYPERLINK("https://cao.dolgi.msk.ru/account/1058175422/", 1058175422)</f>
        <v>1058175422</v>
      </c>
      <c r="D1420" s="4">
        <v>20889.939999999999</v>
      </c>
      <c r="E1420">
        <v>2.0499999999999998</v>
      </c>
    </row>
    <row r="1421" spans="1:5" x14ac:dyDescent="0.25">
      <c r="A1421" t="s">
        <v>493</v>
      </c>
      <c r="B1421" t="s">
        <v>535</v>
      </c>
      <c r="C1421" s="2">
        <f>HYPERLINK("https://cao.dolgi.msk.ru/account/1058185321/", 1058185321)</f>
        <v>1058185321</v>
      </c>
      <c r="D1421" s="4">
        <v>17438.79</v>
      </c>
      <c r="E1421">
        <v>2.11</v>
      </c>
    </row>
    <row r="1422" spans="1:5" x14ac:dyDescent="0.25">
      <c r="A1422" t="s">
        <v>493</v>
      </c>
      <c r="B1422" t="s">
        <v>536</v>
      </c>
      <c r="C1422" s="2">
        <f>HYPERLINK("https://cao.dolgi.msk.ru/account/1058195597/", 1058195597)</f>
        <v>1058195597</v>
      </c>
      <c r="D1422" s="4">
        <v>31641.37</v>
      </c>
      <c r="E1422">
        <v>6.62</v>
      </c>
    </row>
    <row r="1423" spans="1:5" x14ac:dyDescent="0.25">
      <c r="A1423" t="s">
        <v>493</v>
      </c>
      <c r="B1423" t="s">
        <v>537</v>
      </c>
      <c r="C1423" s="2">
        <f>HYPERLINK("https://cao.dolgi.msk.ru/account/1058172264/", 1058172264)</f>
        <v>1058172264</v>
      </c>
      <c r="D1423" s="4">
        <v>7932.8</v>
      </c>
      <c r="E1423">
        <v>1.33</v>
      </c>
    </row>
    <row r="1424" spans="1:5" x14ac:dyDescent="0.25">
      <c r="A1424" t="s">
        <v>493</v>
      </c>
      <c r="B1424" t="s">
        <v>538</v>
      </c>
      <c r="C1424" s="2">
        <f>HYPERLINK("https://cao.dolgi.msk.ru/account/1058176548/", 1058176548)</f>
        <v>1058176548</v>
      </c>
      <c r="D1424" s="4">
        <v>7133.7</v>
      </c>
      <c r="E1424">
        <v>1.17</v>
      </c>
    </row>
    <row r="1425" spans="1:5" x14ac:dyDescent="0.25">
      <c r="A1425" t="s">
        <v>493</v>
      </c>
      <c r="B1425" t="s">
        <v>539</v>
      </c>
      <c r="C1425" s="2">
        <f>HYPERLINK("https://cao.dolgi.msk.ru/account/1058172272/", 1058172272)</f>
        <v>1058172272</v>
      </c>
      <c r="D1425" s="4">
        <v>20113.09</v>
      </c>
      <c r="E1425">
        <v>3.53</v>
      </c>
    </row>
    <row r="1426" spans="1:5" x14ac:dyDescent="0.25">
      <c r="A1426" t="s">
        <v>493</v>
      </c>
      <c r="B1426" t="s">
        <v>540</v>
      </c>
      <c r="C1426" s="2">
        <f>HYPERLINK("https://cao.dolgi.msk.ru/account/1058184273/", 1058184273)</f>
        <v>1058184273</v>
      </c>
      <c r="D1426" s="4">
        <v>8787.42</v>
      </c>
      <c r="E1426">
        <v>1.91</v>
      </c>
    </row>
    <row r="1427" spans="1:5" x14ac:dyDescent="0.25">
      <c r="A1427" t="s">
        <v>493</v>
      </c>
      <c r="B1427" t="s">
        <v>541</v>
      </c>
      <c r="C1427" s="2">
        <f>HYPERLINK("https://cao.dolgi.msk.ru/account/1058193217/", 1058193217)</f>
        <v>1058193217</v>
      </c>
      <c r="D1427" s="4">
        <v>9003.2800000000007</v>
      </c>
      <c r="E1427">
        <v>1.78</v>
      </c>
    </row>
    <row r="1428" spans="1:5" x14ac:dyDescent="0.25">
      <c r="A1428" t="s">
        <v>493</v>
      </c>
      <c r="B1428" t="s">
        <v>542</v>
      </c>
      <c r="C1428" s="2">
        <f>HYPERLINK("https://cao.dolgi.msk.ru/account/1058200579/", 1058200579)</f>
        <v>1058200579</v>
      </c>
      <c r="D1428" s="4">
        <v>71467.86</v>
      </c>
      <c r="E1428">
        <v>13.46</v>
      </c>
    </row>
    <row r="1429" spans="1:5" x14ac:dyDescent="0.25">
      <c r="A1429" t="s">
        <v>493</v>
      </c>
      <c r="B1429" t="s">
        <v>543</v>
      </c>
      <c r="C1429" s="2">
        <f>HYPERLINK("https://cao.dolgi.msk.ru/account/1058190147/", 1058190147)</f>
        <v>1058190147</v>
      </c>
      <c r="D1429" s="4">
        <v>25007.03</v>
      </c>
      <c r="E1429">
        <v>4.63</v>
      </c>
    </row>
    <row r="1430" spans="1:5" x14ac:dyDescent="0.25">
      <c r="A1430" t="s">
        <v>493</v>
      </c>
      <c r="B1430" t="s">
        <v>544</v>
      </c>
      <c r="C1430" s="2">
        <f>HYPERLINK("https://cao.dolgi.msk.ru/account/1058192599/", 1058192599)</f>
        <v>1058192599</v>
      </c>
      <c r="D1430" s="4">
        <v>25465.42</v>
      </c>
      <c r="E1430">
        <v>4.91</v>
      </c>
    </row>
    <row r="1431" spans="1:5" x14ac:dyDescent="0.25">
      <c r="A1431" t="s">
        <v>493</v>
      </c>
      <c r="B1431" t="s">
        <v>545</v>
      </c>
      <c r="C1431" s="2">
        <f>HYPERLINK("https://cao.dolgi.msk.ru/account/1058174585/", 1058174585)</f>
        <v>1058174585</v>
      </c>
      <c r="D1431" s="4">
        <v>5997.92</v>
      </c>
      <c r="E1431">
        <v>2.08</v>
      </c>
    </row>
    <row r="1432" spans="1:5" x14ac:dyDescent="0.25">
      <c r="A1432" t="s">
        <v>493</v>
      </c>
      <c r="B1432" t="s">
        <v>546</v>
      </c>
      <c r="C1432" s="2">
        <f>HYPERLINK("https://cao.dolgi.msk.ru/account/1058177807/", 1058177807)</f>
        <v>1058177807</v>
      </c>
      <c r="D1432" s="4">
        <v>12154.79</v>
      </c>
      <c r="E1432">
        <v>3</v>
      </c>
    </row>
    <row r="1433" spans="1:5" x14ac:dyDescent="0.25">
      <c r="A1433" t="s">
        <v>493</v>
      </c>
      <c r="B1433" t="s">
        <v>547</v>
      </c>
      <c r="C1433" s="2">
        <f>HYPERLINK("https://cao.dolgi.msk.ru/account/1058174454/", 1058174454)</f>
        <v>1058174454</v>
      </c>
      <c r="D1433" s="4">
        <v>10040.530000000001</v>
      </c>
      <c r="E1433">
        <v>2.15</v>
      </c>
    </row>
    <row r="1434" spans="1:5" x14ac:dyDescent="0.25">
      <c r="A1434" t="s">
        <v>493</v>
      </c>
      <c r="B1434" t="s">
        <v>548</v>
      </c>
      <c r="C1434" s="2">
        <f>HYPERLINK("https://cao.dolgi.msk.ru/account/1058176054/", 1058176054)</f>
        <v>1058176054</v>
      </c>
      <c r="D1434" s="4">
        <v>8096.22</v>
      </c>
      <c r="E1434">
        <v>2.02</v>
      </c>
    </row>
    <row r="1435" spans="1:5" x14ac:dyDescent="0.25">
      <c r="A1435" t="s">
        <v>493</v>
      </c>
      <c r="B1435" t="s">
        <v>549</v>
      </c>
      <c r="C1435" s="2">
        <f>HYPERLINK("https://cao.dolgi.msk.ru/account/1058189226/", 1058189226)</f>
        <v>1058189226</v>
      </c>
      <c r="D1435" s="4">
        <v>5702.85</v>
      </c>
      <c r="E1435">
        <v>1.0900000000000001</v>
      </c>
    </row>
    <row r="1436" spans="1:5" x14ac:dyDescent="0.25">
      <c r="A1436" t="s">
        <v>493</v>
      </c>
      <c r="B1436" t="s">
        <v>550</v>
      </c>
      <c r="C1436" s="2">
        <f>HYPERLINK("https://cao.dolgi.msk.ru/account/1058189314/", 1058189314)</f>
        <v>1058189314</v>
      </c>
      <c r="D1436" s="4">
        <v>5702.49</v>
      </c>
      <c r="E1436">
        <v>1.08</v>
      </c>
    </row>
    <row r="1437" spans="1:5" x14ac:dyDescent="0.25">
      <c r="A1437" t="s">
        <v>493</v>
      </c>
      <c r="B1437" t="s">
        <v>551</v>
      </c>
      <c r="C1437" s="2">
        <f>HYPERLINK("https://cao.dolgi.msk.ru/account/1058173099/", 1058173099)</f>
        <v>1058173099</v>
      </c>
      <c r="D1437" s="4">
        <v>8067.97</v>
      </c>
      <c r="E1437">
        <v>1.74</v>
      </c>
    </row>
    <row r="1438" spans="1:5" x14ac:dyDescent="0.25">
      <c r="A1438" t="s">
        <v>493</v>
      </c>
      <c r="B1438" t="s">
        <v>552</v>
      </c>
      <c r="C1438" s="2">
        <f>HYPERLINK("https://cao.dolgi.msk.ru/account/1058187167/", 1058187167)</f>
        <v>1058187167</v>
      </c>
      <c r="D1438" s="4">
        <v>5129.42</v>
      </c>
      <c r="E1438">
        <v>1.02</v>
      </c>
    </row>
    <row r="1439" spans="1:5" x14ac:dyDescent="0.25">
      <c r="A1439" t="s">
        <v>493</v>
      </c>
      <c r="B1439" t="s">
        <v>553</v>
      </c>
      <c r="C1439" s="2">
        <f>HYPERLINK("https://cao.dolgi.msk.ru/account/1058184927/", 1058184927)</f>
        <v>1058184927</v>
      </c>
      <c r="D1439" s="4">
        <v>6303.89</v>
      </c>
      <c r="E1439">
        <v>1.8</v>
      </c>
    </row>
    <row r="1440" spans="1:5" x14ac:dyDescent="0.25">
      <c r="A1440" t="s">
        <v>493</v>
      </c>
      <c r="B1440" t="s">
        <v>554</v>
      </c>
      <c r="C1440" s="2">
        <f>HYPERLINK("https://cao.dolgi.msk.ru/account/1058192863/", 1058192863)</f>
        <v>1058192863</v>
      </c>
      <c r="D1440" s="4">
        <v>33305.230000000003</v>
      </c>
      <c r="E1440">
        <v>7.01</v>
      </c>
    </row>
    <row r="1441" spans="1:5" x14ac:dyDescent="0.25">
      <c r="A1441" t="s">
        <v>493</v>
      </c>
      <c r="B1441" t="s">
        <v>555</v>
      </c>
      <c r="C1441" s="2">
        <f>HYPERLINK("https://cao.dolgi.msk.ru/account/1058172432/", 1058172432)</f>
        <v>1058172432</v>
      </c>
      <c r="D1441" s="4">
        <v>12910.38</v>
      </c>
      <c r="E1441">
        <v>2.15</v>
      </c>
    </row>
    <row r="1442" spans="1:5" x14ac:dyDescent="0.25">
      <c r="A1442" t="s">
        <v>493</v>
      </c>
      <c r="B1442" t="s">
        <v>556</v>
      </c>
      <c r="C1442" s="2">
        <f>HYPERLINK("https://cao.dolgi.msk.ru/account/1058189154/", 1058189154)</f>
        <v>1058189154</v>
      </c>
      <c r="D1442" s="4">
        <v>9729.74</v>
      </c>
      <c r="E1442">
        <v>2.0099999999999998</v>
      </c>
    </row>
    <row r="1443" spans="1:5" x14ac:dyDescent="0.25">
      <c r="A1443" t="s">
        <v>493</v>
      </c>
      <c r="B1443" t="s">
        <v>557</v>
      </c>
      <c r="C1443" s="2">
        <f>HYPERLINK("https://cao.dolgi.msk.ru/account/1058196661/", 1058196661)</f>
        <v>1058196661</v>
      </c>
      <c r="D1443" s="4">
        <v>9322.3799999999992</v>
      </c>
      <c r="E1443">
        <v>1.27</v>
      </c>
    </row>
    <row r="1444" spans="1:5" x14ac:dyDescent="0.25">
      <c r="A1444" t="s">
        <v>493</v>
      </c>
      <c r="B1444" t="s">
        <v>558</v>
      </c>
      <c r="C1444" s="2">
        <f>HYPERLINK("https://cao.dolgi.msk.ru/account/1058187247/", 1058187247)</f>
        <v>1058187247</v>
      </c>
      <c r="D1444" s="4">
        <v>9605.0300000000007</v>
      </c>
      <c r="E1444">
        <v>1.77</v>
      </c>
    </row>
    <row r="1445" spans="1:5" x14ac:dyDescent="0.25">
      <c r="A1445" t="s">
        <v>493</v>
      </c>
      <c r="B1445" t="s">
        <v>559</v>
      </c>
      <c r="C1445" s="2">
        <f>HYPERLINK("https://cao.dolgi.msk.ru/account/1058177663/", 1058177663)</f>
        <v>1058177663</v>
      </c>
      <c r="D1445" s="4">
        <v>8860.6299999999992</v>
      </c>
      <c r="E1445">
        <v>1.94</v>
      </c>
    </row>
    <row r="1446" spans="1:5" x14ac:dyDescent="0.25">
      <c r="A1446" t="s">
        <v>493</v>
      </c>
      <c r="B1446" t="s">
        <v>560</v>
      </c>
      <c r="C1446" s="2">
        <f>HYPERLINK("https://cao.dolgi.msk.ru/account/1058192791/", 1058192791)</f>
        <v>1058192791</v>
      </c>
      <c r="D1446" s="4">
        <v>10545.46</v>
      </c>
      <c r="E1446">
        <v>1.1200000000000001</v>
      </c>
    </row>
    <row r="1447" spans="1:5" x14ac:dyDescent="0.25">
      <c r="A1447" t="s">
        <v>493</v>
      </c>
      <c r="B1447" t="s">
        <v>561</v>
      </c>
      <c r="C1447" s="2">
        <f>HYPERLINK("https://cao.dolgi.msk.ru/account/1058176388/", 1058176388)</f>
        <v>1058176388</v>
      </c>
      <c r="D1447" s="4">
        <v>11474.33</v>
      </c>
      <c r="E1447">
        <v>2.0299999999999998</v>
      </c>
    </row>
    <row r="1448" spans="1:5" x14ac:dyDescent="0.25">
      <c r="A1448" t="s">
        <v>493</v>
      </c>
      <c r="B1448" t="s">
        <v>562</v>
      </c>
      <c r="C1448" s="2">
        <f>HYPERLINK("https://cao.dolgi.msk.ru/account/1058191051/", 1058191051)</f>
        <v>1058191051</v>
      </c>
      <c r="D1448" s="4">
        <v>9854.16</v>
      </c>
      <c r="E1448">
        <v>2.02</v>
      </c>
    </row>
    <row r="1449" spans="1:5" x14ac:dyDescent="0.25">
      <c r="A1449" t="s">
        <v>493</v>
      </c>
      <c r="B1449" t="s">
        <v>563</v>
      </c>
      <c r="C1449" s="2">
        <f>HYPERLINK("https://cao.dolgi.msk.ru/account/1058177284/", 1058177284)</f>
        <v>1058177284</v>
      </c>
      <c r="D1449" s="4">
        <v>14970.77</v>
      </c>
      <c r="E1449">
        <v>4.1900000000000004</v>
      </c>
    </row>
    <row r="1450" spans="1:5" x14ac:dyDescent="0.25">
      <c r="A1450" t="s">
        <v>493</v>
      </c>
      <c r="B1450" t="s">
        <v>564</v>
      </c>
      <c r="C1450" s="2">
        <f>HYPERLINK("https://cao.dolgi.msk.ru/account/1058172416/", 1058172416)</f>
        <v>1058172416</v>
      </c>
      <c r="D1450" s="4">
        <v>11276.56</v>
      </c>
      <c r="E1450">
        <v>1.22</v>
      </c>
    </row>
    <row r="1451" spans="1:5" x14ac:dyDescent="0.25">
      <c r="A1451" t="s">
        <v>493</v>
      </c>
      <c r="B1451" t="s">
        <v>565</v>
      </c>
      <c r="C1451" s="2">
        <f>HYPERLINK("https://cao.dolgi.msk.ru/account/1058187861/", 1058187861)</f>
        <v>1058187861</v>
      </c>
      <c r="D1451" s="4">
        <v>12662.39</v>
      </c>
      <c r="E1451">
        <v>2.4</v>
      </c>
    </row>
    <row r="1452" spans="1:5" x14ac:dyDescent="0.25">
      <c r="A1452" t="s">
        <v>493</v>
      </c>
      <c r="B1452" t="s">
        <v>566</v>
      </c>
      <c r="C1452" s="2">
        <f>HYPERLINK("https://cao.dolgi.msk.ru/account/1058178164/", 1058178164)</f>
        <v>1058178164</v>
      </c>
      <c r="D1452" s="4">
        <v>13845.91</v>
      </c>
      <c r="E1452">
        <v>3.92</v>
      </c>
    </row>
    <row r="1453" spans="1:5" x14ac:dyDescent="0.25">
      <c r="A1453" t="s">
        <v>493</v>
      </c>
      <c r="B1453" t="s">
        <v>567</v>
      </c>
      <c r="C1453" s="2">
        <f>HYPERLINK("https://cao.dolgi.msk.ru/account/1058184142/", 1058184142)</f>
        <v>1058184142</v>
      </c>
      <c r="D1453" s="4">
        <v>6866.73</v>
      </c>
      <c r="E1453">
        <v>2.08</v>
      </c>
    </row>
    <row r="1454" spans="1:5" x14ac:dyDescent="0.25">
      <c r="A1454" t="s">
        <v>493</v>
      </c>
      <c r="B1454" t="s">
        <v>568</v>
      </c>
      <c r="C1454" s="2">
        <f>HYPERLINK("https://cao.dolgi.msk.ru/account/1058200894/", 1058200894)</f>
        <v>1058200894</v>
      </c>
      <c r="D1454" s="4">
        <v>40275.629999999997</v>
      </c>
      <c r="E1454">
        <v>3.83</v>
      </c>
    </row>
    <row r="1455" spans="1:5" x14ac:dyDescent="0.25">
      <c r="A1455" t="s">
        <v>493</v>
      </c>
      <c r="B1455" t="s">
        <v>569</v>
      </c>
      <c r="C1455" s="2">
        <f>HYPERLINK("https://cao.dolgi.msk.ru/account/1058190585/", 1058190585)</f>
        <v>1058190585</v>
      </c>
      <c r="D1455" s="4">
        <v>8388.83</v>
      </c>
      <c r="E1455">
        <v>1.68</v>
      </c>
    </row>
    <row r="1456" spans="1:5" x14ac:dyDescent="0.25">
      <c r="A1456" t="s">
        <v>493</v>
      </c>
      <c r="B1456" t="s">
        <v>570</v>
      </c>
      <c r="C1456" s="2">
        <f>HYPERLINK("https://cao.dolgi.msk.ru/account/1058189162/", 1058189162)</f>
        <v>1058189162</v>
      </c>
      <c r="D1456" s="4">
        <v>8633.7900000000009</v>
      </c>
      <c r="E1456">
        <v>1.93</v>
      </c>
    </row>
    <row r="1457" spans="1:5" x14ac:dyDescent="0.25">
      <c r="A1457" t="s">
        <v>493</v>
      </c>
      <c r="B1457" t="s">
        <v>571</v>
      </c>
      <c r="C1457" s="2">
        <f>HYPERLINK("https://cao.dolgi.msk.ru/account/1058190075/", 1058190075)</f>
        <v>1058190075</v>
      </c>
      <c r="D1457" s="4">
        <v>11302.52</v>
      </c>
      <c r="E1457">
        <v>1.75</v>
      </c>
    </row>
    <row r="1458" spans="1:5" x14ac:dyDescent="0.25">
      <c r="A1458" t="s">
        <v>493</v>
      </c>
      <c r="B1458" t="s">
        <v>572</v>
      </c>
      <c r="C1458" s="2">
        <f>HYPERLINK("https://cao.dolgi.msk.ru/account/1058192142/", 1058192142)</f>
        <v>1058192142</v>
      </c>
      <c r="D1458" s="4">
        <v>6316.23</v>
      </c>
      <c r="E1458">
        <v>1.3</v>
      </c>
    </row>
    <row r="1459" spans="1:5" x14ac:dyDescent="0.25">
      <c r="A1459" t="s">
        <v>493</v>
      </c>
      <c r="B1459" t="s">
        <v>573</v>
      </c>
      <c r="C1459" s="2">
        <f>HYPERLINK("https://cao.dolgi.msk.ru/account/1058200915/", 1058200915)</f>
        <v>1058200915</v>
      </c>
      <c r="D1459" s="4">
        <v>47831.44</v>
      </c>
      <c r="E1459">
        <v>6.65</v>
      </c>
    </row>
    <row r="1460" spans="1:5" x14ac:dyDescent="0.25">
      <c r="A1460" t="s">
        <v>574</v>
      </c>
      <c r="B1460" t="s">
        <v>45</v>
      </c>
      <c r="C1460" s="2">
        <f>HYPERLINK("https://cao.dolgi.msk.ru/account/1058017328/", 1058017328)</f>
        <v>1058017328</v>
      </c>
      <c r="D1460" s="4">
        <v>264379.43</v>
      </c>
      <c r="E1460">
        <v>34.19</v>
      </c>
    </row>
    <row r="1461" spans="1:5" x14ac:dyDescent="0.25">
      <c r="A1461" t="s">
        <v>574</v>
      </c>
      <c r="B1461" t="s">
        <v>47</v>
      </c>
      <c r="C1461" s="2">
        <f>HYPERLINK("https://cao.dolgi.msk.ru/account/1058017301/", 1058017301)</f>
        <v>1058017301</v>
      </c>
      <c r="D1461" s="4">
        <v>233264.93</v>
      </c>
      <c r="E1461">
        <v>30.08</v>
      </c>
    </row>
    <row r="1462" spans="1:5" x14ac:dyDescent="0.25">
      <c r="A1462" t="s">
        <v>574</v>
      </c>
      <c r="B1462" t="s">
        <v>48</v>
      </c>
      <c r="C1462" s="2">
        <f>HYPERLINK("https://cao.dolgi.msk.ru/account/1059026912/", 1059026912)</f>
        <v>1059026912</v>
      </c>
      <c r="D1462" s="4">
        <v>8089.72</v>
      </c>
      <c r="E1462">
        <v>1.71</v>
      </c>
    </row>
    <row r="1463" spans="1:5" x14ac:dyDescent="0.25">
      <c r="A1463" t="s">
        <v>574</v>
      </c>
      <c r="B1463" t="s">
        <v>54</v>
      </c>
      <c r="C1463" s="2">
        <f>HYPERLINK("https://cao.dolgi.msk.ru/account/1058017336/", 1058017336)</f>
        <v>1058017336</v>
      </c>
      <c r="D1463" s="4">
        <v>266655.03999999998</v>
      </c>
      <c r="E1463">
        <v>33.9</v>
      </c>
    </row>
    <row r="1464" spans="1:5" x14ac:dyDescent="0.25">
      <c r="A1464" t="s">
        <v>574</v>
      </c>
      <c r="B1464" t="s">
        <v>56</v>
      </c>
      <c r="C1464" s="2">
        <f>HYPERLINK("https://cao.dolgi.msk.ru/account/1058095625/", 1058095625)</f>
        <v>1058095625</v>
      </c>
      <c r="D1464" s="4">
        <v>312901.89</v>
      </c>
      <c r="E1464">
        <v>37.49</v>
      </c>
    </row>
    <row r="1465" spans="1:5" x14ac:dyDescent="0.25">
      <c r="A1465" t="s">
        <v>574</v>
      </c>
      <c r="B1465" t="s">
        <v>57</v>
      </c>
      <c r="C1465" s="2">
        <f>HYPERLINK("https://cao.dolgi.msk.ru/account/1059026883/", 1059026883)</f>
        <v>1059026883</v>
      </c>
      <c r="D1465" s="4">
        <v>11222.96</v>
      </c>
      <c r="E1465">
        <v>1.1000000000000001</v>
      </c>
    </row>
    <row r="1466" spans="1:5" x14ac:dyDescent="0.25">
      <c r="A1466" t="s">
        <v>575</v>
      </c>
      <c r="B1466" t="s">
        <v>11</v>
      </c>
      <c r="C1466" s="2">
        <f>HYPERLINK("https://cao.dolgi.msk.ru/account/1058043593/", 1058043593)</f>
        <v>1058043593</v>
      </c>
      <c r="D1466" s="4">
        <v>14610.65</v>
      </c>
      <c r="E1466">
        <v>1.9</v>
      </c>
    </row>
    <row r="1467" spans="1:5" x14ac:dyDescent="0.25">
      <c r="A1467" t="s">
        <v>575</v>
      </c>
      <c r="B1467" t="s">
        <v>12</v>
      </c>
      <c r="C1467" s="2">
        <f>HYPERLINK("https://cao.dolgi.msk.ru/account/1058043614/", 1058043614)</f>
        <v>1058043614</v>
      </c>
      <c r="D1467" s="4">
        <v>10860.3</v>
      </c>
      <c r="E1467">
        <v>1.91</v>
      </c>
    </row>
    <row r="1468" spans="1:5" x14ac:dyDescent="0.25">
      <c r="A1468" t="s">
        <v>575</v>
      </c>
      <c r="B1468" t="s">
        <v>34</v>
      </c>
      <c r="C1468" s="2">
        <f>HYPERLINK("https://cao.dolgi.msk.ru/account/1058045046/", 1058045046)</f>
        <v>1058045046</v>
      </c>
      <c r="D1468" s="4">
        <v>9620.06</v>
      </c>
      <c r="E1468">
        <v>2</v>
      </c>
    </row>
    <row r="1469" spans="1:5" x14ac:dyDescent="0.25">
      <c r="A1469" t="s">
        <v>575</v>
      </c>
      <c r="B1469" t="s">
        <v>38</v>
      </c>
      <c r="C1469" s="2">
        <f>HYPERLINK("https://cao.dolgi.msk.ru/account/1058045214/", 1058045214)</f>
        <v>1058045214</v>
      </c>
      <c r="D1469" s="4">
        <v>5450.96</v>
      </c>
      <c r="E1469">
        <v>1.2</v>
      </c>
    </row>
    <row r="1470" spans="1:5" x14ac:dyDescent="0.25">
      <c r="A1470" t="s">
        <v>575</v>
      </c>
      <c r="B1470" t="s">
        <v>39</v>
      </c>
      <c r="C1470" s="2">
        <f>HYPERLINK("https://cao.dolgi.msk.ru/account/1058045249/", 1058045249)</f>
        <v>1058045249</v>
      </c>
      <c r="D1470" s="4">
        <v>16211.56</v>
      </c>
      <c r="E1470">
        <v>2.08</v>
      </c>
    </row>
    <row r="1471" spans="1:5" x14ac:dyDescent="0.25">
      <c r="A1471" t="s">
        <v>575</v>
      </c>
      <c r="B1471" t="s">
        <v>49</v>
      </c>
      <c r="C1471" s="2">
        <f>HYPERLINK("https://cao.dolgi.msk.ru/account/1058045505/", 1058045505)</f>
        <v>1058045505</v>
      </c>
      <c r="D1471" s="4">
        <v>12786.95</v>
      </c>
      <c r="E1471">
        <v>3.31</v>
      </c>
    </row>
    <row r="1472" spans="1:5" x14ac:dyDescent="0.25">
      <c r="A1472" t="s">
        <v>575</v>
      </c>
      <c r="B1472" t="s">
        <v>56</v>
      </c>
      <c r="C1472" s="2">
        <f>HYPERLINK("https://cao.dolgi.msk.ru/account/1058045812/", 1058045812)</f>
        <v>1058045812</v>
      </c>
      <c r="D1472" s="4">
        <v>46410.82</v>
      </c>
      <c r="E1472">
        <v>2.94</v>
      </c>
    </row>
    <row r="1473" spans="1:5" x14ac:dyDescent="0.25">
      <c r="A1473" t="s">
        <v>575</v>
      </c>
      <c r="B1473" t="s">
        <v>101</v>
      </c>
      <c r="C1473" s="2">
        <f>HYPERLINK("https://cao.dolgi.msk.ru/account/1058047199/", 1058047199)</f>
        <v>1058047199</v>
      </c>
      <c r="D1473" s="4">
        <v>8007.78</v>
      </c>
      <c r="E1473">
        <v>2</v>
      </c>
    </row>
    <row r="1474" spans="1:5" x14ac:dyDescent="0.25">
      <c r="A1474" t="s">
        <v>575</v>
      </c>
      <c r="B1474" t="s">
        <v>111</v>
      </c>
      <c r="C1474" s="2">
        <f>HYPERLINK("https://cao.dolgi.msk.ru/account/1058047324/", 1058047324)</f>
        <v>1058047324</v>
      </c>
      <c r="D1474" s="4">
        <v>7465.39</v>
      </c>
      <c r="E1474">
        <v>1.27</v>
      </c>
    </row>
    <row r="1475" spans="1:5" x14ac:dyDescent="0.25">
      <c r="A1475" t="s">
        <v>576</v>
      </c>
      <c r="B1475" t="s">
        <v>16</v>
      </c>
      <c r="C1475" s="2">
        <f>HYPERLINK("https://cao.dolgi.msk.ru/account/1050587158/", 1050587158)</f>
        <v>1050587158</v>
      </c>
      <c r="D1475" s="4">
        <v>21906.03</v>
      </c>
      <c r="E1475">
        <v>2.15</v>
      </c>
    </row>
    <row r="1476" spans="1:5" x14ac:dyDescent="0.25">
      <c r="A1476" t="s">
        <v>576</v>
      </c>
      <c r="B1476" t="s">
        <v>21</v>
      </c>
      <c r="C1476" s="2">
        <f>HYPERLINK("https://cao.dolgi.msk.ru/account/1050587238/", 1050587238)</f>
        <v>1050587238</v>
      </c>
      <c r="D1476" s="4">
        <v>21034.62</v>
      </c>
      <c r="E1476">
        <v>3.71</v>
      </c>
    </row>
    <row r="1477" spans="1:5" x14ac:dyDescent="0.25">
      <c r="A1477" t="s">
        <v>577</v>
      </c>
      <c r="B1477" t="s">
        <v>10</v>
      </c>
      <c r="C1477" s="2">
        <f>HYPERLINK("https://cao.dolgi.msk.ru/account/1050545767/", 1050545767)</f>
        <v>1050545767</v>
      </c>
      <c r="D1477" s="4">
        <v>10993.82</v>
      </c>
      <c r="E1477">
        <v>1.01</v>
      </c>
    </row>
    <row r="1478" spans="1:5" x14ac:dyDescent="0.25">
      <c r="A1478" t="s">
        <v>577</v>
      </c>
      <c r="B1478" t="s">
        <v>16</v>
      </c>
      <c r="C1478" s="2">
        <f>HYPERLINK("https://cao.dolgi.msk.ru/account/1050546014/", 1050546014)</f>
        <v>1050546014</v>
      </c>
      <c r="D1478" s="4">
        <v>208580.57</v>
      </c>
      <c r="E1478">
        <v>20.079999999999998</v>
      </c>
    </row>
    <row r="1479" spans="1:5" x14ac:dyDescent="0.25">
      <c r="A1479" t="s">
        <v>578</v>
      </c>
      <c r="B1479" t="s">
        <v>32</v>
      </c>
      <c r="C1479" s="2">
        <f>HYPERLINK("https://cao.dolgi.msk.ru/account/1058129645/", 1058129645)</f>
        <v>1058129645</v>
      </c>
      <c r="D1479" s="4">
        <v>16755.22</v>
      </c>
      <c r="E1479">
        <v>2.92</v>
      </c>
    </row>
    <row r="1480" spans="1:5" x14ac:dyDescent="0.25">
      <c r="A1480" t="s">
        <v>578</v>
      </c>
      <c r="B1480" t="s">
        <v>46</v>
      </c>
      <c r="C1480" s="2">
        <f>HYPERLINK("https://cao.dolgi.msk.ru/account/1058103349/", 1058103349)</f>
        <v>1058103349</v>
      </c>
      <c r="D1480" s="4">
        <v>14170.04</v>
      </c>
      <c r="E1480">
        <v>1.92</v>
      </c>
    </row>
    <row r="1481" spans="1:5" x14ac:dyDescent="0.25">
      <c r="A1481" t="s">
        <v>579</v>
      </c>
      <c r="B1481" t="s">
        <v>10</v>
      </c>
      <c r="C1481" s="2">
        <f>HYPERLINK("https://cao.dolgi.msk.ru/account/1050547279/", 1050547279)</f>
        <v>1050547279</v>
      </c>
      <c r="D1481" s="4">
        <v>6099.74</v>
      </c>
      <c r="E1481">
        <v>1.01</v>
      </c>
    </row>
    <row r="1482" spans="1:5" x14ac:dyDescent="0.25">
      <c r="A1482" t="s">
        <v>579</v>
      </c>
      <c r="B1482" t="s">
        <v>26</v>
      </c>
      <c r="C1482" s="2">
        <f>HYPERLINK("https://cao.dolgi.msk.ru/account/1050547607/", 1050547607)</f>
        <v>1050547607</v>
      </c>
      <c r="D1482" s="4">
        <v>29147.75</v>
      </c>
      <c r="E1482">
        <v>2.78</v>
      </c>
    </row>
    <row r="1483" spans="1:5" x14ac:dyDescent="0.25">
      <c r="A1483" t="s">
        <v>579</v>
      </c>
      <c r="B1483" t="s">
        <v>33</v>
      </c>
      <c r="C1483" s="2">
        <f>HYPERLINK("https://cao.dolgi.msk.ru/account/1050547842/", 1050547842)</f>
        <v>1050547842</v>
      </c>
      <c r="D1483" s="4">
        <v>51583.14</v>
      </c>
      <c r="E1483">
        <v>2.82</v>
      </c>
    </row>
    <row r="1484" spans="1:5" x14ac:dyDescent="0.25">
      <c r="A1484" t="s">
        <v>579</v>
      </c>
      <c r="B1484" t="s">
        <v>34</v>
      </c>
      <c r="C1484" s="2">
        <f>HYPERLINK("https://cao.dolgi.msk.ru/account/1050547906/", 1050547906)</f>
        <v>1050547906</v>
      </c>
      <c r="D1484" s="4">
        <v>617428.19999999995</v>
      </c>
      <c r="E1484">
        <v>57.48</v>
      </c>
    </row>
    <row r="1485" spans="1:5" x14ac:dyDescent="0.25">
      <c r="A1485" t="s">
        <v>579</v>
      </c>
      <c r="B1485" t="s">
        <v>580</v>
      </c>
      <c r="C1485" s="2">
        <f>HYPERLINK("https://cao.dolgi.msk.ru/account/1050547885/", 1050547885)</f>
        <v>1050547885</v>
      </c>
      <c r="D1485" s="4">
        <v>376015.45</v>
      </c>
      <c r="E1485">
        <v>73.260000000000005</v>
      </c>
    </row>
    <row r="1486" spans="1:5" x14ac:dyDescent="0.25">
      <c r="A1486" t="s">
        <v>579</v>
      </c>
      <c r="B1486" t="s">
        <v>95</v>
      </c>
      <c r="C1486" s="2">
        <f>HYPERLINK("https://cao.dolgi.msk.ru/account/1050548343/", 1050548343)</f>
        <v>1050548343</v>
      </c>
      <c r="D1486" s="4">
        <v>20344.09</v>
      </c>
      <c r="E1486">
        <v>5.0199999999999996</v>
      </c>
    </row>
    <row r="1487" spans="1:5" x14ac:dyDescent="0.25">
      <c r="A1487" t="s">
        <v>579</v>
      </c>
      <c r="B1487" t="s">
        <v>51</v>
      </c>
      <c r="C1487" s="2">
        <f>HYPERLINK("https://cao.dolgi.msk.ru/account/1050548474/", 1050548474)</f>
        <v>1050548474</v>
      </c>
      <c r="D1487" s="4">
        <v>25010.17</v>
      </c>
      <c r="E1487">
        <v>3</v>
      </c>
    </row>
    <row r="1488" spans="1:5" x14ac:dyDescent="0.25">
      <c r="A1488" t="s">
        <v>579</v>
      </c>
      <c r="B1488" t="s">
        <v>61</v>
      </c>
      <c r="C1488" s="2">
        <f>HYPERLINK("https://cao.dolgi.msk.ru/account/1050548685/", 1050548685)</f>
        <v>1050548685</v>
      </c>
      <c r="D1488" s="4">
        <v>10348.82</v>
      </c>
      <c r="E1488">
        <v>1.19</v>
      </c>
    </row>
    <row r="1489" spans="1:5" x14ac:dyDescent="0.25">
      <c r="A1489" t="s">
        <v>579</v>
      </c>
      <c r="B1489" t="s">
        <v>76</v>
      </c>
      <c r="C1489" s="2">
        <f>HYPERLINK("https://cao.dolgi.msk.ru/account/1050549127/", 1050549127)</f>
        <v>1050549127</v>
      </c>
      <c r="D1489" s="4">
        <v>7190.8</v>
      </c>
      <c r="E1489">
        <v>1.08</v>
      </c>
    </row>
    <row r="1490" spans="1:5" x14ac:dyDescent="0.25">
      <c r="A1490" t="s">
        <v>579</v>
      </c>
      <c r="B1490" t="s">
        <v>83</v>
      </c>
      <c r="C1490" s="2">
        <f>HYPERLINK("https://cao.dolgi.msk.ru/account/1050549354/", 1050549354)</f>
        <v>1050549354</v>
      </c>
      <c r="D1490" s="4">
        <v>97781.01</v>
      </c>
      <c r="E1490">
        <v>13.53</v>
      </c>
    </row>
    <row r="1491" spans="1:5" x14ac:dyDescent="0.25">
      <c r="A1491" t="s">
        <v>579</v>
      </c>
      <c r="B1491" t="s">
        <v>89</v>
      </c>
      <c r="C1491" s="2">
        <f>HYPERLINK("https://cao.dolgi.msk.ru/account/1050549522/", 1050549522)</f>
        <v>1050549522</v>
      </c>
      <c r="D1491" s="4">
        <v>10473.08</v>
      </c>
      <c r="E1491">
        <v>1.83</v>
      </c>
    </row>
    <row r="1492" spans="1:5" x14ac:dyDescent="0.25">
      <c r="A1492" t="s">
        <v>579</v>
      </c>
      <c r="B1492" t="s">
        <v>91</v>
      </c>
      <c r="C1492" s="2">
        <f>HYPERLINK("https://cao.dolgi.msk.ru/account/1050549573/", 1050549573)</f>
        <v>1050549573</v>
      </c>
      <c r="D1492" s="4">
        <v>21522.92</v>
      </c>
      <c r="E1492">
        <v>2.94</v>
      </c>
    </row>
    <row r="1493" spans="1:5" x14ac:dyDescent="0.25">
      <c r="A1493" t="s">
        <v>579</v>
      </c>
      <c r="B1493" t="s">
        <v>123</v>
      </c>
      <c r="C1493" s="2">
        <f>HYPERLINK("https://cao.dolgi.msk.ru/account/1050550363/", 1050550363)</f>
        <v>1050550363</v>
      </c>
      <c r="D1493" s="4">
        <v>16522.05</v>
      </c>
      <c r="E1493">
        <v>2.2200000000000002</v>
      </c>
    </row>
    <row r="1494" spans="1:5" x14ac:dyDescent="0.25">
      <c r="A1494" t="s">
        <v>579</v>
      </c>
      <c r="B1494" t="s">
        <v>142</v>
      </c>
      <c r="C1494" s="2">
        <f>HYPERLINK("https://cao.dolgi.msk.ru/account/1050550726/", 1050550726)</f>
        <v>1050550726</v>
      </c>
      <c r="D1494" s="4">
        <v>7859.19</v>
      </c>
      <c r="E1494">
        <v>1.1399999999999999</v>
      </c>
    </row>
    <row r="1495" spans="1:5" x14ac:dyDescent="0.25">
      <c r="A1495" t="s">
        <v>579</v>
      </c>
      <c r="B1495" t="s">
        <v>153</v>
      </c>
      <c r="C1495" s="2">
        <f>HYPERLINK("https://cao.dolgi.msk.ru/account/1050550961/", 1050550961)</f>
        <v>1050550961</v>
      </c>
      <c r="D1495" s="4">
        <v>15344.53</v>
      </c>
      <c r="E1495">
        <v>1.91</v>
      </c>
    </row>
    <row r="1496" spans="1:5" x14ac:dyDescent="0.25">
      <c r="A1496" t="s">
        <v>579</v>
      </c>
      <c r="B1496" t="s">
        <v>161</v>
      </c>
      <c r="C1496" s="2">
        <f>HYPERLINK("https://cao.dolgi.msk.ru/account/1050551243/", 1050551243)</f>
        <v>1050551243</v>
      </c>
      <c r="D1496" s="4">
        <v>12769.65</v>
      </c>
      <c r="E1496">
        <v>1.98</v>
      </c>
    </row>
    <row r="1497" spans="1:5" x14ac:dyDescent="0.25">
      <c r="A1497" t="s">
        <v>579</v>
      </c>
      <c r="B1497" t="s">
        <v>165</v>
      </c>
      <c r="C1497" s="2">
        <f>HYPERLINK("https://cao.dolgi.msk.ru/account/1058024173/", 1058024173)</f>
        <v>1058024173</v>
      </c>
      <c r="D1497" s="4">
        <v>196849.09</v>
      </c>
      <c r="E1497">
        <v>27.86</v>
      </c>
    </row>
    <row r="1498" spans="1:5" x14ac:dyDescent="0.25">
      <c r="A1498" t="s">
        <v>581</v>
      </c>
      <c r="B1498" t="s">
        <v>10</v>
      </c>
      <c r="C1498" s="2">
        <f>HYPERLINK("https://cao.dolgi.msk.ru/account/1058011049/", 1058011049)</f>
        <v>1058011049</v>
      </c>
      <c r="D1498" s="4">
        <v>27419.06</v>
      </c>
      <c r="E1498">
        <v>2</v>
      </c>
    </row>
    <row r="1499" spans="1:5" x14ac:dyDescent="0.25">
      <c r="A1499" t="s">
        <v>581</v>
      </c>
      <c r="B1499" t="s">
        <v>13</v>
      </c>
      <c r="C1499" s="2">
        <f>HYPERLINK("https://cao.dolgi.msk.ru/account/1058011102/", 1058011102)</f>
        <v>1058011102</v>
      </c>
      <c r="D1499" s="4">
        <v>25737.71</v>
      </c>
      <c r="E1499">
        <v>2</v>
      </c>
    </row>
    <row r="1500" spans="1:5" x14ac:dyDescent="0.25">
      <c r="A1500" t="s">
        <v>581</v>
      </c>
      <c r="B1500" t="s">
        <v>19</v>
      </c>
      <c r="C1500" s="2">
        <f>HYPERLINK("https://cao.dolgi.msk.ru/account/1058011313/", 1058011313)</f>
        <v>1058011313</v>
      </c>
      <c r="D1500" s="4">
        <v>14863.57</v>
      </c>
      <c r="E1500">
        <v>1.62</v>
      </c>
    </row>
    <row r="1501" spans="1:5" x14ac:dyDescent="0.25">
      <c r="A1501" t="s">
        <v>582</v>
      </c>
      <c r="B1501" t="s">
        <v>19</v>
      </c>
      <c r="C1501" s="2">
        <f>HYPERLINK("https://cao.dolgi.msk.ru/account/1050334281/", 1050334281)</f>
        <v>1050334281</v>
      </c>
      <c r="D1501" s="4">
        <v>6843.22</v>
      </c>
      <c r="E1501">
        <v>1.1499999999999999</v>
      </c>
    </row>
    <row r="1502" spans="1:5" x14ac:dyDescent="0.25">
      <c r="A1502" t="s">
        <v>583</v>
      </c>
      <c r="B1502" t="s">
        <v>30</v>
      </c>
      <c r="C1502" s="2">
        <f>HYPERLINK("https://cao.dolgi.msk.ru/account/1050541328/", 1050541328)</f>
        <v>1050541328</v>
      </c>
      <c r="D1502" s="4">
        <v>37129.71</v>
      </c>
      <c r="E1502">
        <v>3</v>
      </c>
    </row>
    <row r="1503" spans="1:5" x14ac:dyDescent="0.25">
      <c r="A1503" t="s">
        <v>584</v>
      </c>
      <c r="B1503" t="s">
        <v>13</v>
      </c>
      <c r="C1503" s="2">
        <f>HYPERLINK("https://cao.dolgi.msk.ru/account/1050552262/", 1050552262)</f>
        <v>1050552262</v>
      </c>
      <c r="D1503" s="4">
        <v>19986.07</v>
      </c>
      <c r="E1503">
        <v>2.0099999999999998</v>
      </c>
    </row>
    <row r="1504" spans="1:5" x14ac:dyDescent="0.25">
      <c r="A1504" t="s">
        <v>586</v>
      </c>
      <c r="B1504" t="s">
        <v>19</v>
      </c>
      <c r="C1504" s="2">
        <f>HYPERLINK("https://cao.dolgi.msk.ru/account/1050553337/", 1050553337)</f>
        <v>1050553337</v>
      </c>
      <c r="D1504" s="4">
        <v>85857.44</v>
      </c>
      <c r="E1504">
        <v>13.99</v>
      </c>
    </row>
    <row r="1505" spans="1:5" x14ac:dyDescent="0.25">
      <c r="A1505" t="s">
        <v>586</v>
      </c>
      <c r="B1505" t="s">
        <v>30</v>
      </c>
      <c r="C1505" s="2">
        <f>HYPERLINK("https://cao.dolgi.msk.ru/account/1050553759/", 1050553759)</f>
        <v>1050553759</v>
      </c>
      <c r="D1505" s="4">
        <v>9069.2900000000009</v>
      </c>
      <c r="E1505">
        <v>2.06</v>
      </c>
    </row>
    <row r="1506" spans="1:5" x14ac:dyDescent="0.25">
      <c r="A1506" t="s">
        <v>586</v>
      </c>
      <c r="B1506" t="s">
        <v>31</v>
      </c>
      <c r="C1506" s="2">
        <f>HYPERLINK("https://cao.dolgi.msk.ru/account/1050553767/", 1050553767)</f>
        <v>1050553767</v>
      </c>
      <c r="D1506" s="4">
        <v>10089.85</v>
      </c>
      <c r="E1506">
        <v>1.57</v>
      </c>
    </row>
    <row r="1507" spans="1:5" x14ac:dyDescent="0.25">
      <c r="A1507" t="s">
        <v>586</v>
      </c>
      <c r="B1507" t="s">
        <v>33</v>
      </c>
      <c r="C1507" s="2">
        <f>HYPERLINK("https://cao.dolgi.msk.ru/account/1050553791/", 1050553791)</f>
        <v>1050553791</v>
      </c>
      <c r="D1507" s="4">
        <v>16232.38</v>
      </c>
      <c r="E1507">
        <v>2.0099999999999998</v>
      </c>
    </row>
    <row r="1508" spans="1:5" x14ac:dyDescent="0.25">
      <c r="A1508" t="s">
        <v>587</v>
      </c>
      <c r="B1508" t="s">
        <v>11</v>
      </c>
      <c r="C1508" s="2">
        <f>HYPERLINK("https://cao.dolgi.msk.ru/account/1050548458/", 1050548458)</f>
        <v>1050548458</v>
      </c>
      <c r="D1508" s="4">
        <v>19435.900000000001</v>
      </c>
      <c r="E1508">
        <v>1.19</v>
      </c>
    </row>
    <row r="1509" spans="1:5" x14ac:dyDescent="0.25">
      <c r="A1509" t="s">
        <v>587</v>
      </c>
      <c r="B1509" t="s">
        <v>15</v>
      </c>
      <c r="C1509" s="2">
        <f>HYPERLINK("https://cao.dolgi.msk.ru/account/1050548693/", 1050548693)</f>
        <v>1050548693</v>
      </c>
      <c r="D1509" s="4">
        <v>22332.09</v>
      </c>
      <c r="E1509">
        <v>1.97</v>
      </c>
    </row>
    <row r="1510" spans="1:5" x14ac:dyDescent="0.25">
      <c r="A1510" t="s">
        <v>587</v>
      </c>
      <c r="B1510" t="s">
        <v>16</v>
      </c>
      <c r="C1510" s="2">
        <f>HYPERLINK("https://cao.dolgi.msk.ru/account/1050548853/", 1050548853)</f>
        <v>1050548853</v>
      </c>
      <c r="D1510" s="4">
        <v>12582.49</v>
      </c>
      <c r="E1510">
        <v>1.26</v>
      </c>
    </row>
    <row r="1511" spans="1:5" x14ac:dyDescent="0.25">
      <c r="A1511" t="s">
        <v>587</v>
      </c>
      <c r="B1511" t="s">
        <v>30</v>
      </c>
      <c r="C1511" s="2">
        <f>HYPERLINK("https://cao.dolgi.msk.ru/account/1050549696/", 1050549696)</f>
        <v>1050549696</v>
      </c>
      <c r="D1511" s="4">
        <v>6306.75</v>
      </c>
      <c r="E1511">
        <v>1.01</v>
      </c>
    </row>
    <row r="1512" spans="1:5" x14ac:dyDescent="0.25">
      <c r="A1512" t="s">
        <v>587</v>
      </c>
      <c r="B1512" t="s">
        <v>40</v>
      </c>
      <c r="C1512" s="2">
        <f>HYPERLINK("https://cao.dolgi.msk.ru/account/1050550312/", 1050550312)</f>
        <v>1050550312</v>
      </c>
      <c r="D1512" s="4">
        <v>28567.17</v>
      </c>
      <c r="E1512">
        <v>2.8</v>
      </c>
    </row>
    <row r="1513" spans="1:5" x14ac:dyDescent="0.25">
      <c r="A1513" t="s">
        <v>588</v>
      </c>
      <c r="B1513" t="s">
        <v>8</v>
      </c>
      <c r="C1513" s="2">
        <f>HYPERLINK("https://cao.dolgi.msk.ru/account/1050555551/", 1050555551)</f>
        <v>1050555551</v>
      </c>
      <c r="D1513" s="4">
        <v>10832.67</v>
      </c>
      <c r="E1513">
        <v>1.06</v>
      </c>
    </row>
    <row r="1514" spans="1:5" x14ac:dyDescent="0.25">
      <c r="A1514" t="s">
        <v>589</v>
      </c>
      <c r="B1514" t="s">
        <v>49</v>
      </c>
      <c r="C1514" s="2">
        <f>HYPERLINK("https://cao.dolgi.msk.ru/account/1050595537/", 1050595537)</f>
        <v>1050595537</v>
      </c>
      <c r="D1514" s="4">
        <v>13153.25</v>
      </c>
      <c r="E1514">
        <v>1.94</v>
      </c>
    </row>
    <row r="1515" spans="1:5" x14ac:dyDescent="0.25">
      <c r="A1515" t="s">
        <v>589</v>
      </c>
      <c r="B1515" t="s">
        <v>50</v>
      </c>
      <c r="C1515" s="2">
        <f>HYPERLINK("https://cao.dolgi.msk.ru/account/1050595545/", 1050595545)</f>
        <v>1050595545</v>
      </c>
      <c r="D1515" s="4">
        <v>24560.86</v>
      </c>
      <c r="E1515">
        <v>3.98</v>
      </c>
    </row>
    <row r="1516" spans="1:5" x14ac:dyDescent="0.25">
      <c r="A1516" t="s">
        <v>589</v>
      </c>
      <c r="B1516" t="s">
        <v>51</v>
      </c>
      <c r="C1516" s="2">
        <f>HYPERLINK("https://cao.dolgi.msk.ru/account/1058130857/", 1058130857)</f>
        <v>1058130857</v>
      </c>
      <c r="D1516" s="4">
        <v>10250.530000000001</v>
      </c>
      <c r="E1516">
        <v>1.83</v>
      </c>
    </row>
    <row r="1517" spans="1:5" x14ac:dyDescent="0.25">
      <c r="A1517" t="s">
        <v>589</v>
      </c>
      <c r="B1517" t="s">
        <v>78</v>
      </c>
      <c r="C1517" s="2">
        <f>HYPERLINK("https://cao.dolgi.msk.ru/account/1050595916/", 1050595916)</f>
        <v>1050595916</v>
      </c>
      <c r="D1517" s="4">
        <v>103516.83</v>
      </c>
      <c r="E1517">
        <v>8.9600000000000009</v>
      </c>
    </row>
    <row r="1518" spans="1:5" x14ac:dyDescent="0.25">
      <c r="A1518" t="s">
        <v>592</v>
      </c>
      <c r="B1518" t="s">
        <v>13</v>
      </c>
      <c r="C1518" s="2">
        <f>HYPERLINK("https://cao.dolgi.msk.ru/account/1050548992/", 1050548992)</f>
        <v>1050548992</v>
      </c>
      <c r="D1518" s="4">
        <v>136753.28</v>
      </c>
      <c r="E1518">
        <v>12.99</v>
      </c>
    </row>
    <row r="1519" spans="1:5" x14ac:dyDescent="0.25">
      <c r="A1519" t="s">
        <v>593</v>
      </c>
      <c r="B1519" t="s">
        <v>13</v>
      </c>
      <c r="C1519" s="2">
        <f>HYPERLINK("https://cao.dolgi.msk.ru/account/1050549979/", 1050549979)</f>
        <v>1050549979</v>
      </c>
      <c r="D1519" s="4">
        <v>44824.94</v>
      </c>
      <c r="E1519">
        <v>4</v>
      </c>
    </row>
    <row r="1520" spans="1:5" x14ac:dyDescent="0.25">
      <c r="A1520" t="s">
        <v>593</v>
      </c>
      <c r="B1520" t="s">
        <v>45</v>
      </c>
      <c r="C1520" s="2">
        <f>HYPERLINK("https://cao.dolgi.msk.ru/account/1050551323/", 1050551323)</f>
        <v>1050551323</v>
      </c>
      <c r="D1520" s="4">
        <v>5553.17</v>
      </c>
      <c r="E1520">
        <v>1.02</v>
      </c>
    </row>
    <row r="1521" spans="1:5" x14ac:dyDescent="0.25">
      <c r="A1521" t="s">
        <v>593</v>
      </c>
      <c r="B1521" t="s">
        <v>46</v>
      </c>
      <c r="C1521" s="2">
        <f>HYPERLINK("https://cao.dolgi.msk.ru/account/1050551358/", 1050551358)</f>
        <v>1050551358</v>
      </c>
      <c r="D1521" s="4">
        <v>24853.17</v>
      </c>
      <c r="E1521">
        <v>4.3099999999999996</v>
      </c>
    </row>
    <row r="1522" spans="1:5" x14ac:dyDescent="0.25">
      <c r="A1522" t="s">
        <v>594</v>
      </c>
      <c r="B1522" t="s">
        <v>26</v>
      </c>
      <c r="C1522" s="2">
        <f>HYPERLINK("https://cao.dolgi.msk.ru/account/1050550814/", 1050550814)</f>
        <v>1050550814</v>
      </c>
      <c r="D1522" s="4">
        <v>15372.42</v>
      </c>
      <c r="E1522">
        <v>1.93</v>
      </c>
    </row>
    <row r="1523" spans="1:5" x14ac:dyDescent="0.25">
      <c r="A1523" t="s">
        <v>595</v>
      </c>
      <c r="B1523" t="s">
        <v>9</v>
      </c>
      <c r="C1523" s="2">
        <f>HYPERLINK("https://cao.dolgi.msk.ru/account/1050593961/", 1050593961)</f>
        <v>1050593961</v>
      </c>
      <c r="D1523" s="4">
        <v>14814.33</v>
      </c>
      <c r="E1523">
        <v>1.95</v>
      </c>
    </row>
    <row r="1524" spans="1:5" x14ac:dyDescent="0.25">
      <c r="A1524" t="s">
        <v>595</v>
      </c>
      <c r="B1524" t="s">
        <v>18</v>
      </c>
      <c r="C1524" s="2">
        <f>HYPERLINK("https://cao.dolgi.msk.ru/account/1050594075/", 1050594075)</f>
        <v>1050594075</v>
      </c>
      <c r="D1524" s="4">
        <v>16467.3</v>
      </c>
      <c r="E1524">
        <v>2.91</v>
      </c>
    </row>
    <row r="1525" spans="1:5" x14ac:dyDescent="0.25">
      <c r="A1525" t="s">
        <v>596</v>
      </c>
      <c r="B1525" t="s">
        <v>95</v>
      </c>
      <c r="C1525" s="2">
        <f>HYPERLINK("https://cao.dolgi.msk.ru/account/1058010871/", 1058010871)</f>
        <v>1058010871</v>
      </c>
      <c r="D1525" s="4">
        <v>13257.43</v>
      </c>
      <c r="E1525">
        <v>1.99</v>
      </c>
    </row>
    <row r="1526" spans="1:5" x14ac:dyDescent="0.25">
      <c r="A1526" t="s">
        <v>597</v>
      </c>
      <c r="B1526" t="s">
        <v>73</v>
      </c>
      <c r="C1526" s="2">
        <f>HYPERLINK("https://cao.dolgi.msk.ru/account/1050544668/", 1050544668)</f>
        <v>1050544668</v>
      </c>
      <c r="D1526" s="4">
        <v>12633.67</v>
      </c>
      <c r="E1526">
        <v>1.97</v>
      </c>
    </row>
    <row r="1527" spans="1:5" x14ac:dyDescent="0.25">
      <c r="A1527" t="s">
        <v>598</v>
      </c>
      <c r="B1527" t="s">
        <v>93</v>
      </c>
      <c r="C1527" s="2">
        <f>HYPERLINK("https://cao.dolgi.msk.ru/account/1050616481/", 1050616481)</f>
        <v>1050616481</v>
      </c>
      <c r="D1527" s="4">
        <v>5017.18</v>
      </c>
      <c r="E1527">
        <v>1.58</v>
      </c>
    </row>
    <row r="1528" spans="1:5" x14ac:dyDescent="0.25">
      <c r="A1528" t="s">
        <v>598</v>
      </c>
      <c r="B1528" t="s">
        <v>28</v>
      </c>
      <c r="C1528" s="2">
        <f>HYPERLINK("https://cao.dolgi.msk.ru/account/1050616609/", 1050616609)</f>
        <v>1050616609</v>
      </c>
      <c r="D1528" s="4">
        <v>334460.73</v>
      </c>
      <c r="E1528">
        <v>76.05</v>
      </c>
    </row>
    <row r="1529" spans="1:5" x14ac:dyDescent="0.25">
      <c r="A1529" t="s">
        <v>598</v>
      </c>
      <c r="B1529" t="s">
        <v>49</v>
      </c>
      <c r="C1529" s="2">
        <f>HYPERLINK("https://cao.dolgi.msk.ru/account/1050616887/", 1050616887)</f>
        <v>1050616887</v>
      </c>
      <c r="D1529" s="4">
        <v>160032.44</v>
      </c>
      <c r="E1529">
        <v>19.59</v>
      </c>
    </row>
    <row r="1530" spans="1:5" x14ac:dyDescent="0.25">
      <c r="A1530" t="s">
        <v>598</v>
      </c>
      <c r="B1530" t="s">
        <v>52</v>
      </c>
      <c r="C1530" s="2">
        <f>HYPERLINK("https://cao.dolgi.msk.ru/account/1050616916/", 1050616916)</f>
        <v>1050616916</v>
      </c>
      <c r="D1530" s="4">
        <v>14145.35</v>
      </c>
      <c r="E1530">
        <v>2.96</v>
      </c>
    </row>
    <row r="1531" spans="1:5" x14ac:dyDescent="0.25">
      <c r="A1531" t="s">
        <v>598</v>
      </c>
      <c r="B1531" t="s">
        <v>62</v>
      </c>
      <c r="C1531" s="2">
        <f>HYPERLINK("https://cao.dolgi.msk.ru/account/1050617038/", 1050617038)</f>
        <v>1050617038</v>
      </c>
      <c r="D1531" s="4">
        <v>9437.67</v>
      </c>
      <c r="E1531">
        <v>2</v>
      </c>
    </row>
    <row r="1532" spans="1:5" x14ac:dyDescent="0.25">
      <c r="A1532" t="s">
        <v>599</v>
      </c>
      <c r="B1532" t="s">
        <v>93</v>
      </c>
      <c r="C1532" s="2">
        <f>HYPERLINK("https://cao.dolgi.msk.ru/account/1050618946/", 1050618946)</f>
        <v>1050618946</v>
      </c>
      <c r="D1532" s="4">
        <v>10699.51</v>
      </c>
      <c r="E1532">
        <v>1.82</v>
      </c>
    </row>
    <row r="1533" spans="1:5" x14ac:dyDescent="0.25">
      <c r="A1533" t="s">
        <v>599</v>
      </c>
      <c r="B1533" t="s">
        <v>29</v>
      </c>
      <c r="C1533" s="2">
        <f>HYPERLINK("https://cao.dolgi.msk.ru/account/1050619084/", 1050619084)</f>
        <v>1050619084</v>
      </c>
      <c r="D1533" s="4">
        <v>41913.39</v>
      </c>
      <c r="E1533">
        <v>14.77</v>
      </c>
    </row>
    <row r="1534" spans="1:5" x14ac:dyDescent="0.25">
      <c r="A1534" t="s">
        <v>599</v>
      </c>
      <c r="B1534" t="s">
        <v>30</v>
      </c>
      <c r="C1534" s="2">
        <f>HYPERLINK("https://cao.dolgi.msk.ru/account/1050619092/", 1050619092)</f>
        <v>1050619092</v>
      </c>
      <c r="D1534" s="4">
        <v>23973.83</v>
      </c>
      <c r="E1534">
        <v>4.34</v>
      </c>
    </row>
    <row r="1535" spans="1:5" x14ac:dyDescent="0.25">
      <c r="A1535" t="s">
        <v>599</v>
      </c>
      <c r="B1535" t="s">
        <v>54</v>
      </c>
      <c r="C1535" s="2">
        <f>HYPERLINK("https://cao.dolgi.msk.ru/account/1050619404/", 1050619404)</f>
        <v>1050619404</v>
      </c>
      <c r="D1535" s="4">
        <v>5923.42</v>
      </c>
      <c r="E1535">
        <v>1.97</v>
      </c>
    </row>
    <row r="1536" spans="1:5" x14ac:dyDescent="0.25">
      <c r="A1536" t="s">
        <v>600</v>
      </c>
      <c r="B1536" t="s">
        <v>67</v>
      </c>
      <c r="C1536" s="2">
        <f>HYPERLINK("https://cao.dolgi.msk.ru/account/1050620325/", 1050620325)</f>
        <v>1050620325</v>
      </c>
      <c r="D1536" s="4">
        <v>10338.66</v>
      </c>
      <c r="E1536">
        <v>1.89</v>
      </c>
    </row>
    <row r="1537" spans="1:5" x14ac:dyDescent="0.25">
      <c r="A1537" t="s">
        <v>600</v>
      </c>
      <c r="B1537" t="s">
        <v>68</v>
      </c>
      <c r="C1537" s="2">
        <f>HYPERLINK("https://cao.dolgi.msk.ru/account/1050620333/", 1050620333)</f>
        <v>1050620333</v>
      </c>
      <c r="D1537" s="4">
        <v>21607.46</v>
      </c>
      <c r="E1537">
        <v>5.51</v>
      </c>
    </row>
    <row r="1538" spans="1:5" x14ac:dyDescent="0.25">
      <c r="A1538" t="s">
        <v>600</v>
      </c>
      <c r="B1538" t="s">
        <v>76</v>
      </c>
      <c r="C1538" s="2">
        <f>HYPERLINK("https://cao.dolgi.msk.ru/account/1050620421/", 1050620421)</f>
        <v>1050620421</v>
      </c>
      <c r="D1538" s="4">
        <v>6344.21</v>
      </c>
      <c r="E1538">
        <v>2.04</v>
      </c>
    </row>
    <row r="1539" spans="1:5" x14ac:dyDescent="0.25">
      <c r="A1539" t="s">
        <v>600</v>
      </c>
      <c r="B1539" t="s">
        <v>78</v>
      </c>
      <c r="C1539" s="2">
        <f>HYPERLINK("https://cao.dolgi.msk.ru/account/1058162453/", 1058162453)</f>
        <v>1058162453</v>
      </c>
      <c r="D1539" s="4">
        <v>11993.57</v>
      </c>
      <c r="E1539">
        <v>2.95</v>
      </c>
    </row>
    <row r="1540" spans="1:5" x14ac:dyDescent="0.25">
      <c r="A1540" t="s">
        <v>601</v>
      </c>
      <c r="B1540" t="s">
        <v>26</v>
      </c>
      <c r="C1540" s="2">
        <f>HYPERLINK("https://cao.dolgi.msk.ru/account/1050613061/", 1050613061)</f>
        <v>1050613061</v>
      </c>
      <c r="D1540" s="4">
        <v>26533.51</v>
      </c>
      <c r="E1540">
        <v>3.97</v>
      </c>
    </row>
    <row r="1541" spans="1:5" x14ac:dyDescent="0.25">
      <c r="A1541" t="s">
        <v>601</v>
      </c>
      <c r="B1541" t="s">
        <v>29</v>
      </c>
      <c r="C1541" s="2">
        <f>HYPERLINK("https://cao.dolgi.msk.ru/account/1058032384/", 1058032384)</f>
        <v>1058032384</v>
      </c>
      <c r="D1541" s="4">
        <v>37273.42</v>
      </c>
      <c r="E1541">
        <v>4.97</v>
      </c>
    </row>
    <row r="1542" spans="1:5" x14ac:dyDescent="0.25">
      <c r="A1542" t="s">
        <v>601</v>
      </c>
      <c r="B1542" t="s">
        <v>47</v>
      </c>
      <c r="C1542" s="2">
        <f>HYPERLINK("https://cao.dolgi.msk.ru/account/1050613432/", 1050613432)</f>
        <v>1050613432</v>
      </c>
      <c r="D1542" s="4">
        <v>178196</v>
      </c>
      <c r="E1542">
        <v>25.19</v>
      </c>
    </row>
    <row r="1543" spans="1:5" x14ac:dyDescent="0.25">
      <c r="A1543" t="s">
        <v>602</v>
      </c>
      <c r="B1543" t="s">
        <v>45</v>
      </c>
      <c r="C1543" s="2">
        <f>HYPERLINK("https://cao.dolgi.msk.ru/account/1050610514/", 1050610514)</f>
        <v>1050610514</v>
      </c>
      <c r="D1543" s="4">
        <v>5189.3</v>
      </c>
      <c r="E1543">
        <v>1.08</v>
      </c>
    </row>
    <row r="1544" spans="1:5" x14ac:dyDescent="0.25">
      <c r="A1544" t="s">
        <v>602</v>
      </c>
      <c r="B1544" t="s">
        <v>60</v>
      </c>
      <c r="C1544" s="2">
        <f>HYPERLINK("https://cao.dolgi.msk.ru/account/1050610733/", 1050610733)</f>
        <v>1050610733</v>
      </c>
      <c r="D1544" s="4">
        <v>8040.22</v>
      </c>
      <c r="E1544">
        <v>1.0900000000000001</v>
      </c>
    </row>
    <row r="1545" spans="1:5" x14ac:dyDescent="0.25">
      <c r="A1545" t="s">
        <v>603</v>
      </c>
      <c r="B1545" t="s">
        <v>8</v>
      </c>
      <c r="C1545" s="2">
        <f>HYPERLINK("https://cao.dolgi.msk.ru/account/1050605926/", 1050605926)</f>
        <v>1050605926</v>
      </c>
      <c r="D1545" s="4">
        <v>6311.25</v>
      </c>
      <c r="E1545">
        <v>1.85</v>
      </c>
    </row>
    <row r="1546" spans="1:5" x14ac:dyDescent="0.25">
      <c r="A1546" t="s">
        <v>603</v>
      </c>
      <c r="B1546" t="s">
        <v>17</v>
      </c>
      <c r="C1546" s="2">
        <f>HYPERLINK("https://cao.dolgi.msk.ru/account/1050606021/", 1050606021)</f>
        <v>1050606021</v>
      </c>
      <c r="D1546" s="4">
        <v>9121.2099999999991</v>
      </c>
      <c r="E1546">
        <v>2.02</v>
      </c>
    </row>
    <row r="1547" spans="1:5" x14ac:dyDescent="0.25">
      <c r="A1547" t="s">
        <v>603</v>
      </c>
      <c r="B1547" t="s">
        <v>40</v>
      </c>
      <c r="C1547" s="2">
        <f>HYPERLINK("https://cao.dolgi.msk.ru/account/1050606304/", 1050606304)</f>
        <v>1050606304</v>
      </c>
      <c r="D1547" s="4">
        <v>5133.53</v>
      </c>
      <c r="E1547">
        <v>1.29</v>
      </c>
    </row>
    <row r="1548" spans="1:5" x14ac:dyDescent="0.25">
      <c r="A1548" t="s">
        <v>603</v>
      </c>
      <c r="B1548" t="s">
        <v>46</v>
      </c>
      <c r="C1548" s="2">
        <f>HYPERLINK("https://cao.dolgi.msk.ru/account/1050606371/", 1050606371)</f>
        <v>1050606371</v>
      </c>
      <c r="D1548" s="4">
        <v>19814.27</v>
      </c>
      <c r="E1548">
        <v>5.32</v>
      </c>
    </row>
    <row r="1549" spans="1:5" x14ac:dyDescent="0.25">
      <c r="A1549" t="s">
        <v>604</v>
      </c>
      <c r="B1549" t="s">
        <v>6</v>
      </c>
      <c r="C1549" s="2">
        <f>HYPERLINK("https://cao.dolgi.msk.ru/account/1059017944/", 1059017944)</f>
        <v>1059017944</v>
      </c>
      <c r="D1549" s="4">
        <v>214295.59</v>
      </c>
      <c r="E1549">
        <v>42.21</v>
      </c>
    </row>
    <row r="1550" spans="1:5" x14ac:dyDescent="0.25">
      <c r="A1550" t="s">
        <v>604</v>
      </c>
      <c r="B1550" t="s">
        <v>20</v>
      </c>
      <c r="C1550" s="2">
        <f>HYPERLINK("https://cao.dolgi.msk.ru/account/1050607761/", 1050607761)</f>
        <v>1050607761</v>
      </c>
      <c r="D1550" s="4">
        <v>12216.91</v>
      </c>
      <c r="E1550">
        <v>1.99</v>
      </c>
    </row>
    <row r="1551" spans="1:5" x14ac:dyDescent="0.25">
      <c r="A1551" t="s">
        <v>604</v>
      </c>
      <c r="B1551" t="s">
        <v>47</v>
      </c>
      <c r="C1551" s="2">
        <f>HYPERLINK("https://cao.dolgi.msk.ru/account/1050608051/", 1050608051)</f>
        <v>1050608051</v>
      </c>
      <c r="D1551" s="4">
        <v>44423.07</v>
      </c>
      <c r="E1551">
        <v>15.35</v>
      </c>
    </row>
    <row r="1552" spans="1:5" x14ac:dyDescent="0.25">
      <c r="A1552" t="s">
        <v>604</v>
      </c>
      <c r="B1552" t="s">
        <v>55</v>
      </c>
      <c r="C1552" s="2">
        <f>HYPERLINK("https://cao.dolgi.msk.ru/account/1050608158/", 1050608158)</f>
        <v>1050608158</v>
      </c>
      <c r="D1552" s="4">
        <v>10731.28</v>
      </c>
      <c r="E1552">
        <v>3.01</v>
      </c>
    </row>
    <row r="1553" spans="1:5" x14ac:dyDescent="0.25">
      <c r="A1553" t="s">
        <v>605</v>
      </c>
      <c r="B1553" t="s">
        <v>29</v>
      </c>
      <c r="C1553" s="2">
        <f>HYPERLINK("https://cao.dolgi.msk.ru/account/1050608609/", 1050608609)</f>
        <v>1050608609</v>
      </c>
      <c r="D1553" s="4">
        <v>687229.88</v>
      </c>
      <c r="E1553">
        <v>64.27</v>
      </c>
    </row>
    <row r="1554" spans="1:5" x14ac:dyDescent="0.25">
      <c r="A1554" t="s">
        <v>605</v>
      </c>
      <c r="B1554" t="s">
        <v>36</v>
      </c>
      <c r="C1554" s="2">
        <f>HYPERLINK("https://cao.dolgi.msk.ru/account/1050608676/", 1050608676)</f>
        <v>1050608676</v>
      </c>
      <c r="D1554" s="4">
        <v>45549.78</v>
      </c>
      <c r="E1554">
        <v>10.57</v>
      </c>
    </row>
    <row r="1555" spans="1:5" x14ac:dyDescent="0.25">
      <c r="A1555" t="s">
        <v>605</v>
      </c>
      <c r="B1555" t="s">
        <v>38</v>
      </c>
      <c r="C1555" s="2">
        <f>HYPERLINK("https://cao.dolgi.msk.ru/account/1058153186/", 1058153186)</f>
        <v>1058153186</v>
      </c>
      <c r="D1555" s="4">
        <v>39839.78</v>
      </c>
      <c r="E1555">
        <v>3.51</v>
      </c>
    </row>
    <row r="1556" spans="1:5" x14ac:dyDescent="0.25">
      <c r="A1556" t="s">
        <v>605</v>
      </c>
      <c r="B1556" t="s">
        <v>40</v>
      </c>
      <c r="C1556" s="2">
        <f>HYPERLINK("https://cao.dolgi.msk.ru/account/1050608721/", 1050608721)</f>
        <v>1050608721</v>
      </c>
      <c r="D1556" s="4">
        <v>7851.44</v>
      </c>
      <c r="E1556">
        <v>1.1499999999999999</v>
      </c>
    </row>
    <row r="1557" spans="1:5" x14ac:dyDescent="0.25">
      <c r="A1557" t="s">
        <v>605</v>
      </c>
      <c r="B1557" t="s">
        <v>95</v>
      </c>
      <c r="C1557" s="2">
        <f>HYPERLINK("https://cao.dolgi.msk.ru/account/1050608844/", 1050608844)</f>
        <v>1050608844</v>
      </c>
      <c r="D1557" s="4">
        <v>9925.41</v>
      </c>
      <c r="E1557">
        <v>2.5499999999999998</v>
      </c>
    </row>
    <row r="1558" spans="1:5" x14ac:dyDescent="0.25">
      <c r="A1558" t="s">
        <v>605</v>
      </c>
      <c r="B1558" t="s">
        <v>54</v>
      </c>
      <c r="C1558" s="2">
        <f>HYPERLINK("https://cao.dolgi.msk.ru/account/1050608924/", 1050608924)</f>
        <v>1050608924</v>
      </c>
      <c r="D1558" s="4">
        <v>13097.42</v>
      </c>
      <c r="E1558">
        <v>1.68</v>
      </c>
    </row>
    <row r="1559" spans="1:5" x14ac:dyDescent="0.25">
      <c r="A1559" t="s">
        <v>605</v>
      </c>
      <c r="B1559" t="s">
        <v>59</v>
      </c>
      <c r="C1559" s="2">
        <f>HYPERLINK("https://cao.dolgi.msk.ru/account/1050608983/", 1050608983)</f>
        <v>1050608983</v>
      </c>
      <c r="D1559" s="4">
        <v>54669.55</v>
      </c>
      <c r="E1559">
        <v>13.3</v>
      </c>
    </row>
    <row r="1560" spans="1:5" x14ac:dyDescent="0.25">
      <c r="A1560" t="s">
        <v>606</v>
      </c>
      <c r="B1560" t="s">
        <v>11</v>
      </c>
      <c r="C1560" s="2">
        <f>HYPERLINK("https://cao.dolgi.msk.ru/account/1056044648/", 1056044648)</f>
        <v>1056044648</v>
      </c>
      <c r="D1560" s="4">
        <v>13411.67</v>
      </c>
      <c r="E1560">
        <v>2.17</v>
      </c>
    </row>
    <row r="1561" spans="1:5" x14ac:dyDescent="0.25">
      <c r="A1561" t="s">
        <v>607</v>
      </c>
      <c r="B1561" t="s">
        <v>11</v>
      </c>
      <c r="C1561" s="2">
        <f>HYPERLINK("https://cao.dolgi.msk.ru/account/1050637426/", 1050637426)</f>
        <v>1050637426</v>
      </c>
      <c r="D1561" s="4">
        <v>113463.11</v>
      </c>
      <c r="E1561">
        <v>12.12</v>
      </c>
    </row>
    <row r="1562" spans="1:5" x14ac:dyDescent="0.25">
      <c r="A1562" t="s">
        <v>607</v>
      </c>
      <c r="B1562" t="s">
        <v>28</v>
      </c>
      <c r="C1562" s="2">
        <f>HYPERLINK("https://cao.dolgi.msk.ru/account/1050637637/", 1050637637)</f>
        <v>1050637637</v>
      </c>
      <c r="D1562" s="4">
        <v>17258.150000000001</v>
      </c>
      <c r="E1562">
        <v>1.84</v>
      </c>
    </row>
    <row r="1563" spans="1:5" x14ac:dyDescent="0.25">
      <c r="A1563" t="s">
        <v>607</v>
      </c>
      <c r="B1563" t="s">
        <v>44</v>
      </c>
      <c r="C1563" s="2">
        <f>HYPERLINK("https://cao.dolgi.msk.ru/account/1050637821/", 1050637821)</f>
        <v>1050637821</v>
      </c>
      <c r="D1563" s="4">
        <v>6369.8</v>
      </c>
      <c r="E1563">
        <v>2.2799999999999998</v>
      </c>
    </row>
    <row r="1564" spans="1:5" x14ac:dyDescent="0.25">
      <c r="A1564" t="s">
        <v>607</v>
      </c>
      <c r="B1564" t="s">
        <v>48</v>
      </c>
      <c r="C1564" s="2">
        <f>HYPERLINK("https://cao.dolgi.msk.ru/account/1050637901/", 1050637901)</f>
        <v>1050637901</v>
      </c>
      <c r="D1564" s="4">
        <v>16252.84</v>
      </c>
      <c r="E1564">
        <v>3</v>
      </c>
    </row>
    <row r="1565" spans="1:5" x14ac:dyDescent="0.25">
      <c r="A1565" t="s">
        <v>607</v>
      </c>
      <c r="B1565" t="s">
        <v>74</v>
      </c>
      <c r="C1565" s="2">
        <f>HYPERLINK("https://cao.dolgi.msk.ru/account/1050638234/", 1050638234)</f>
        <v>1050638234</v>
      </c>
      <c r="D1565" s="4">
        <v>16295.37</v>
      </c>
      <c r="E1565">
        <v>5</v>
      </c>
    </row>
    <row r="1566" spans="1:5" x14ac:dyDescent="0.25">
      <c r="A1566" t="s">
        <v>607</v>
      </c>
      <c r="B1566" t="s">
        <v>76</v>
      </c>
      <c r="C1566" s="2">
        <f>HYPERLINK("https://cao.dolgi.msk.ru/account/1050638269/", 1050638269)</f>
        <v>1050638269</v>
      </c>
      <c r="D1566" s="4">
        <v>11639.79</v>
      </c>
      <c r="E1566">
        <v>4.4400000000000004</v>
      </c>
    </row>
    <row r="1567" spans="1:5" x14ac:dyDescent="0.25">
      <c r="A1567" t="s">
        <v>607</v>
      </c>
      <c r="B1567" t="s">
        <v>80</v>
      </c>
      <c r="C1567" s="2">
        <f>HYPERLINK("https://cao.dolgi.msk.ru/account/1050638306/", 1050638306)</f>
        <v>1050638306</v>
      </c>
      <c r="D1567" s="4">
        <v>12750.1</v>
      </c>
      <c r="E1567">
        <v>2</v>
      </c>
    </row>
    <row r="1568" spans="1:5" x14ac:dyDescent="0.25">
      <c r="A1568" t="s">
        <v>607</v>
      </c>
      <c r="B1568" t="s">
        <v>83</v>
      </c>
      <c r="C1568" s="2">
        <f>HYPERLINK("https://cao.dolgi.msk.ru/account/1050638349/", 1050638349)</f>
        <v>1050638349</v>
      </c>
      <c r="D1568" s="4">
        <v>27294.959999999999</v>
      </c>
      <c r="E1568">
        <v>3.13</v>
      </c>
    </row>
    <row r="1569" spans="1:5" x14ac:dyDescent="0.25">
      <c r="A1569" t="s">
        <v>608</v>
      </c>
      <c r="B1569" t="s">
        <v>9</v>
      </c>
      <c r="C1569" s="2">
        <f>HYPERLINK("https://cao.dolgi.msk.ru/account/1058145338/", 1058145338)</f>
        <v>1058145338</v>
      </c>
      <c r="D1569" s="4">
        <v>17990.25</v>
      </c>
      <c r="E1569">
        <v>1.98</v>
      </c>
    </row>
    <row r="1570" spans="1:5" x14ac:dyDescent="0.25">
      <c r="A1570" t="s">
        <v>608</v>
      </c>
      <c r="B1570" t="s">
        <v>17</v>
      </c>
      <c r="C1570" s="2">
        <f>HYPERLINK("https://cao.dolgi.msk.ru/account/1050362063/", 1050362063)</f>
        <v>1050362063</v>
      </c>
      <c r="D1570" s="4">
        <v>135447.54999999999</v>
      </c>
      <c r="E1570">
        <v>13.07</v>
      </c>
    </row>
    <row r="1571" spans="1:5" x14ac:dyDescent="0.25">
      <c r="A1571" t="s">
        <v>608</v>
      </c>
      <c r="B1571" t="s">
        <v>35</v>
      </c>
      <c r="C1571" s="2">
        <f>HYPERLINK("https://cao.dolgi.msk.ru/account/1050362661/", 1050362661)</f>
        <v>1050362661</v>
      </c>
      <c r="D1571" s="4">
        <v>9712.26</v>
      </c>
      <c r="E1571">
        <v>1.91</v>
      </c>
    </row>
    <row r="1572" spans="1:5" x14ac:dyDescent="0.25">
      <c r="A1572" t="s">
        <v>608</v>
      </c>
      <c r="B1572" t="s">
        <v>51</v>
      </c>
      <c r="C1572" s="2">
        <f>HYPERLINK("https://cao.dolgi.msk.ru/account/1050363218/", 1050363218)</f>
        <v>1050363218</v>
      </c>
      <c r="D1572" s="4">
        <v>13044.26</v>
      </c>
      <c r="E1572">
        <v>1.99</v>
      </c>
    </row>
    <row r="1573" spans="1:5" x14ac:dyDescent="0.25">
      <c r="A1573" t="s">
        <v>608</v>
      </c>
      <c r="B1573" t="s">
        <v>63</v>
      </c>
      <c r="C1573" s="2">
        <f>HYPERLINK("https://cao.dolgi.msk.ru/account/1058098105/", 1058098105)</f>
        <v>1058098105</v>
      </c>
      <c r="D1573" s="4">
        <v>34370.519999999997</v>
      </c>
      <c r="E1573">
        <v>3.11</v>
      </c>
    </row>
    <row r="1574" spans="1:5" x14ac:dyDescent="0.25">
      <c r="A1574" t="s">
        <v>608</v>
      </c>
      <c r="B1574" t="s">
        <v>75</v>
      </c>
      <c r="C1574" s="2">
        <f>HYPERLINK("https://cao.dolgi.msk.ru/account/1050364114/", 1050364114)</f>
        <v>1050364114</v>
      </c>
      <c r="D1574" s="4">
        <v>14097.27</v>
      </c>
      <c r="E1574">
        <v>1.65</v>
      </c>
    </row>
    <row r="1575" spans="1:5" x14ac:dyDescent="0.25">
      <c r="A1575" t="s">
        <v>608</v>
      </c>
      <c r="B1575" t="s">
        <v>103</v>
      </c>
      <c r="C1575" s="2">
        <f>HYPERLINK("https://cao.dolgi.msk.ru/account/1050364931/", 1050364931)</f>
        <v>1050364931</v>
      </c>
      <c r="D1575" s="4">
        <v>10115.5</v>
      </c>
      <c r="E1575">
        <v>1.07</v>
      </c>
    </row>
    <row r="1576" spans="1:5" x14ac:dyDescent="0.25">
      <c r="A1576" t="s">
        <v>608</v>
      </c>
      <c r="B1576" t="s">
        <v>116</v>
      </c>
      <c r="C1576" s="2">
        <f>HYPERLINK("https://cao.dolgi.msk.ru/account/1050365328/", 1050365328)</f>
        <v>1050365328</v>
      </c>
      <c r="D1576" s="4">
        <v>10685.75</v>
      </c>
      <c r="E1576">
        <v>1.95</v>
      </c>
    </row>
    <row r="1577" spans="1:5" x14ac:dyDescent="0.25">
      <c r="A1577" t="s">
        <v>609</v>
      </c>
      <c r="B1577" t="s">
        <v>48</v>
      </c>
      <c r="C1577" s="2">
        <f>HYPERLINK("https://cao.dolgi.msk.ru/account/1050320453/", 1050320453)</f>
        <v>1050320453</v>
      </c>
      <c r="D1577" s="4">
        <v>34137.89</v>
      </c>
      <c r="E1577">
        <v>3.98</v>
      </c>
    </row>
    <row r="1578" spans="1:5" x14ac:dyDescent="0.25">
      <c r="A1578" t="s">
        <v>609</v>
      </c>
      <c r="B1578" t="s">
        <v>71</v>
      </c>
      <c r="C1578" s="2">
        <f>HYPERLINK("https://cao.dolgi.msk.ru/account/1050320752/", 1050320752)</f>
        <v>1050320752</v>
      </c>
      <c r="D1578" s="4">
        <v>6014.94</v>
      </c>
      <c r="E1578">
        <v>1.17</v>
      </c>
    </row>
    <row r="1579" spans="1:5" x14ac:dyDescent="0.25">
      <c r="A1579" t="s">
        <v>609</v>
      </c>
      <c r="B1579" t="s">
        <v>76</v>
      </c>
      <c r="C1579" s="2">
        <f>HYPERLINK("https://cao.dolgi.msk.ru/account/1050320816/", 1050320816)</f>
        <v>1050320816</v>
      </c>
      <c r="D1579" s="4">
        <v>78656.009999999995</v>
      </c>
      <c r="E1579">
        <v>12.56</v>
      </c>
    </row>
    <row r="1580" spans="1:5" x14ac:dyDescent="0.25">
      <c r="A1580" t="s">
        <v>609</v>
      </c>
      <c r="B1580" t="s">
        <v>78</v>
      </c>
      <c r="C1580" s="2">
        <f>HYPERLINK("https://cao.dolgi.msk.ru/account/1050320832/", 1050320832)</f>
        <v>1050320832</v>
      </c>
      <c r="D1580" s="4">
        <v>6663.23</v>
      </c>
      <c r="E1580">
        <v>2.0099999999999998</v>
      </c>
    </row>
    <row r="1581" spans="1:5" x14ac:dyDescent="0.25">
      <c r="A1581" t="s">
        <v>609</v>
      </c>
      <c r="B1581" t="s">
        <v>80</v>
      </c>
      <c r="C1581" s="2">
        <f>HYPERLINK("https://cao.dolgi.msk.ru/account/1058129741/", 1058129741)</f>
        <v>1058129741</v>
      </c>
      <c r="D1581" s="4">
        <v>23891.119999999999</v>
      </c>
      <c r="E1581">
        <v>3</v>
      </c>
    </row>
    <row r="1582" spans="1:5" x14ac:dyDescent="0.25">
      <c r="A1582" t="s">
        <v>609</v>
      </c>
      <c r="B1582" t="s">
        <v>83</v>
      </c>
      <c r="C1582" s="2">
        <f>HYPERLINK("https://cao.dolgi.msk.ru/account/1050320891/", 1050320891)</f>
        <v>1050320891</v>
      </c>
      <c r="D1582" s="4">
        <v>8308.32</v>
      </c>
      <c r="E1582">
        <v>1.03</v>
      </c>
    </row>
    <row r="1583" spans="1:5" x14ac:dyDescent="0.25">
      <c r="A1583" t="s">
        <v>609</v>
      </c>
      <c r="B1583" t="s">
        <v>90</v>
      </c>
      <c r="C1583" s="2">
        <f>HYPERLINK("https://cao.dolgi.msk.ru/account/1050320971/", 1050320971)</f>
        <v>1050320971</v>
      </c>
      <c r="D1583" s="4">
        <v>57118.97</v>
      </c>
      <c r="E1583">
        <v>9.94</v>
      </c>
    </row>
    <row r="1584" spans="1:5" x14ac:dyDescent="0.25">
      <c r="A1584" t="s">
        <v>609</v>
      </c>
      <c r="B1584" t="s">
        <v>118</v>
      </c>
      <c r="C1584" s="2">
        <f>HYPERLINK("https://cao.dolgi.msk.ru/account/1050321261/", 1050321261)</f>
        <v>1050321261</v>
      </c>
      <c r="D1584" s="4">
        <v>10076.120000000001</v>
      </c>
      <c r="E1584">
        <v>1.03</v>
      </c>
    </row>
    <row r="1585" spans="1:5" x14ac:dyDescent="0.25">
      <c r="A1585" t="s">
        <v>609</v>
      </c>
      <c r="B1585" t="s">
        <v>119</v>
      </c>
      <c r="C1585" s="2">
        <f>HYPERLINK("https://cao.dolgi.msk.ru/account/1050321309/", 1050321309)</f>
        <v>1050321309</v>
      </c>
      <c r="D1585" s="4">
        <v>6859.34</v>
      </c>
      <c r="E1585">
        <v>1.08</v>
      </c>
    </row>
    <row r="1586" spans="1:5" x14ac:dyDescent="0.25">
      <c r="A1586" t="s">
        <v>610</v>
      </c>
      <c r="B1586" t="s">
        <v>9</v>
      </c>
      <c r="C1586" s="2">
        <f>HYPERLINK("https://cao.dolgi.msk.ru/account/1058178738/", 1058178738)</f>
        <v>1058178738</v>
      </c>
      <c r="D1586" s="4">
        <v>32583.68</v>
      </c>
      <c r="E1586">
        <v>4.57</v>
      </c>
    </row>
    <row r="1587" spans="1:5" x14ac:dyDescent="0.25">
      <c r="A1587" t="s">
        <v>610</v>
      </c>
      <c r="B1587" t="s">
        <v>30</v>
      </c>
      <c r="C1587" s="2">
        <f>HYPERLINK("https://cao.dolgi.msk.ru/account/1058179597/", 1058179597)</f>
        <v>1058179597</v>
      </c>
      <c r="D1587" s="4">
        <v>9639.4</v>
      </c>
      <c r="E1587">
        <v>1.01</v>
      </c>
    </row>
    <row r="1588" spans="1:5" x14ac:dyDescent="0.25">
      <c r="A1588" t="s">
        <v>610</v>
      </c>
      <c r="B1588" t="s">
        <v>35</v>
      </c>
      <c r="C1588" s="2">
        <f>HYPERLINK("https://cao.dolgi.msk.ru/account/1058178885/", 1058178885)</f>
        <v>1058178885</v>
      </c>
      <c r="D1588" s="4">
        <v>12769.87</v>
      </c>
      <c r="E1588">
        <v>1.97</v>
      </c>
    </row>
    <row r="1589" spans="1:5" x14ac:dyDescent="0.25">
      <c r="A1589" t="s">
        <v>610</v>
      </c>
      <c r="B1589" t="s">
        <v>41</v>
      </c>
      <c r="C1589" s="2">
        <f>HYPERLINK("https://cao.dolgi.msk.ru/account/1058178746/", 1058178746)</f>
        <v>1058178746</v>
      </c>
      <c r="D1589" s="4">
        <v>100532.3</v>
      </c>
      <c r="E1589">
        <v>9.67</v>
      </c>
    </row>
    <row r="1590" spans="1:5" x14ac:dyDescent="0.25">
      <c r="A1590" t="s">
        <v>610</v>
      </c>
      <c r="B1590" t="s">
        <v>45</v>
      </c>
      <c r="C1590" s="2">
        <f>HYPERLINK("https://cao.dolgi.msk.ru/account/1058179132/", 1058179132)</f>
        <v>1058179132</v>
      </c>
      <c r="D1590" s="4">
        <v>17301.64</v>
      </c>
      <c r="E1590">
        <v>1.88</v>
      </c>
    </row>
    <row r="1591" spans="1:5" x14ac:dyDescent="0.25">
      <c r="A1591" t="s">
        <v>610</v>
      </c>
      <c r="B1591" t="s">
        <v>94</v>
      </c>
      <c r="C1591" s="2">
        <f>HYPERLINK("https://cao.dolgi.msk.ru/account/1058179298/", 1058179298)</f>
        <v>1058179298</v>
      </c>
      <c r="D1591" s="4">
        <v>7378.82</v>
      </c>
      <c r="E1591">
        <v>1.1000000000000001</v>
      </c>
    </row>
    <row r="1592" spans="1:5" x14ac:dyDescent="0.25">
      <c r="A1592" t="s">
        <v>610</v>
      </c>
      <c r="B1592" t="s">
        <v>61</v>
      </c>
      <c r="C1592" s="2">
        <f>HYPERLINK("https://cao.dolgi.msk.ru/account/1058179781/", 1058179781)</f>
        <v>1058179781</v>
      </c>
      <c r="D1592" s="4">
        <v>8266.49</v>
      </c>
      <c r="E1592">
        <v>1.1499999999999999</v>
      </c>
    </row>
    <row r="1593" spans="1:5" x14ac:dyDescent="0.25">
      <c r="A1593" t="s">
        <v>610</v>
      </c>
      <c r="B1593" t="s">
        <v>68</v>
      </c>
      <c r="C1593" s="2">
        <f>HYPERLINK("https://cao.dolgi.msk.ru/account/1058179888/", 1058179888)</f>
        <v>1058179888</v>
      </c>
      <c r="D1593" s="4">
        <v>6741.68</v>
      </c>
      <c r="E1593">
        <v>1.03</v>
      </c>
    </row>
    <row r="1594" spans="1:5" x14ac:dyDescent="0.25">
      <c r="A1594" t="s">
        <v>610</v>
      </c>
      <c r="B1594" t="s">
        <v>88</v>
      </c>
      <c r="C1594" s="2">
        <f>HYPERLINK("https://cao.dolgi.msk.ru/account/1058179474/", 1058179474)</f>
        <v>1058179474</v>
      </c>
      <c r="D1594" s="4">
        <v>12994.72</v>
      </c>
      <c r="E1594">
        <v>1.84</v>
      </c>
    </row>
    <row r="1595" spans="1:5" x14ac:dyDescent="0.25">
      <c r="A1595" t="s">
        <v>610</v>
      </c>
      <c r="B1595" t="s">
        <v>99</v>
      </c>
      <c r="C1595" s="2">
        <f>HYPERLINK("https://cao.dolgi.msk.ru/account/1058178949/", 1058178949)</f>
        <v>1058178949</v>
      </c>
      <c r="D1595" s="4">
        <v>44021.17</v>
      </c>
      <c r="E1595">
        <v>4.82</v>
      </c>
    </row>
    <row r="1596" spans="1:5" x14ac:dyDescent="0.25">
      <c r="A1596" t="s">
        <v>610</v>
      </c>
      <c r="B1596" t="s">
        <v>110</v>
      </c>
      <c r="C1596" s="2">
        <f>HYPERLINK("https://cao.dolgi.msk.ru/account/1058178674/", 1058178674)</f>
        <v>1058178674</v>
      </c>
      <c r="D1596" s="4">
        <v>148347.49</v>
      </c>
      <c r="E1596">
        <v>11.69</v>
      </c>
    </row>
    <row r="1597" spans="1:5" x14ac:dyDescent="0.25">
      <c r="A1597" t="s">
        <v>611</v>
      </c>
      <c r="B1597" t="s">
        <v>28</v>
      </c>
      <c r="C1597" s="2">
        <f>HYPERLINK("https://cao.dolgi.msk.ru/account/1058180969/", 1058180969)</f>
        <v>1058180969</v>
      </c>
      <c r="D1597" s="4">
        <v>65416.65</v>
      </c>
      <c r="E1597">
        <v>7.39</v>
      </c>
    </row>
    <row r="1598" spans="1:5" x14ac:dyDescent="0.25">
      <c r="A1598" t="s">
        <v>611</v>
      </c>
      <c r="B1598" t="s">
        <v>40</v>
      </c>
      <c r="C1598" s="2">
        <f>HYPERLINK("https://cao.dolgi.msk.ru/account/1058180133/", 1058180133)</f>
        <v>1058180133</v>
      </c>
      <c r="D1598" s="4">
        <v>12458.4</v>
      </c>
      <c r="E1598">
        <v>2</v>
      </c>
    </row>
    <row r="1599" spans="1:5" x14ac:dyDescent="0.25">
      <c r="A1599" t="s">
        <v>611</v>
      </c>
      <c r="B1599" t="s">
        <v>110</v>
      </c>
      <c r="C1599" s="2">
        <f>HYPERLINK("https://cao.dolgi.msk.ru/account/1058180416/", 1058180416)</f>
        <v>1058180416</v>
      </c>
      <c r="D1599" s="4">
        <v>27750.84</v>
      </c>
      <c r="E1599">
        <v>2.84</v>
      </c>
    </row>
    <row r="1600" spans="1:5" x14ac:dyDescent="0.25">
      <c r="A1600" t="s">
        <v>611</v>
      </c>
      <c r="B1600" t="s">
        <v>113</v>
      </c>
      <c r="C1600" s="2">
        <f>HYPERLINK("https://cao.dolgi.msk.ru/account/1058181312/", 1058181312)</f>
        <v>1058181312</v>
      </c>
      <c r="D1600" s="4">
        <v>70058.14</v>
      </c>
      <c r="E1600">
        <v>8.9499999999999993</v>
      </c>
    </row>
    <row r="1601" spans="1:5" x14ac:dyDescent="0.25">
      <c r="A1601" t="s">
        <v>612</v>
      </c>
      <c r="B1601" t="s">
        <v>17</v>
      </c>
      <c r="C1601" s="2">
        <f>HYPERLINK("https://cao.dolgi.msk.ru/account/1050314651/", 1050314651)</f>
        <v>1050314651</v>
      </c>
      <c r="D1601" s="4">
        <v>8185.77</v>
      </c>
      <c r="E1601">
        <v>1.24</v>
      </c>
    </row>
    <row r="1602" spans="1:5" x14ac:dyDescent="0.25">
      <c r="A1602" t="s">
        <v>612</v>
      </c>
      <c r="B1602" t="s">
        <v>93</v>
      </c>
      <c r="C1602" s="2">
        <f>HYPERLINK("https://cao.dolgi.msk.ru/account/1050314686/", 1050314686)</f>
        <v>1050314686</v>
      </c>
      <c r="D1602" s="4">
        <v>6475.91</v>
      </c>
      <c r="E1602">
        <v>1.25</v>
      </c>
    </row>
    <row r="1603" spans="1:5" x14ac:dyDescent="0.25">
      <c r="A1603" t="s">
        <v>612</v>
      </c>
      <c r="B1603" t="s">
        <v>20</v>
      </c>
      <c r="C1603" s="2">
        <f>HYPERLINK("https://cao.dolgi.msk.ru/account/1050314707/", 1050314707)</f>
        <v>1050314707</v>
      </c>
      <c r="D1603" s="4">
        <v>35543.94</v>
      </c>
      <c r="E1603">
        <v>5.93</v>
      </c>
    </row>
    <row r="1604" spans="1:5" x14ac:dyDescent="0.25">
      <c r="A1604" t="s">
        <v>612</v>
      </c>
      <c r="B1604" t="s">
        <v>24</v>
      </c>
      <c r="C1604" s="2">
        <f>HYPERLINK("https://cao.dolgi.msk.ru/account/1050314758/", 1050314758)</f>
        <v>1050314758</v>
      </c>
      <c r="D1604" s="4">
        <v>390128.04</v>
      </c>
      <c r="E1604">
        <v>30.62</v>
      </c>
    </row>
    <row r="1605" spans="1:5" x14ac:dyDescent="0.25">
      <c r="A1605" t="s">
        <v>612</v>
      </c>
      <c r="B1605" t="s">
        <v>30</v>
      </c>
      <c r="C1605" s="2">
        <f>HYPERLINK("https://cao.dolgi.msk.ru/account/1050314811/", 1050314811)</f>
        <v>1050314811</v>
      </c>
      <c r="D1605" s="4">
        <v>38422.379999999997</v>
      </c>
      <c r="E1605">
        <v>5.7</v>
      </c>
    </row>
    <row r="1606" spans="1:5" x14ac:dyDescent="0.25">
      <c r="A1606" t="s">
        <v>612</v>
      </c>
      <c r="B1606" t="s">
        <v>37</v>
      </c>
      <c r="C1606" s="2">
        <f>HYPERLINK("https://cao.dolgi.msk.ru/account/1050314918/", 1050314918)</f>
        <v>1050314918</v>
      </c>
      <c r="D1606" s="4">
        <v>9575.92</v>
      </c>
      <c r="E1606">
        <v>1.3</v>
      </c>
    </row>
    <row r="1607" spans="1:5" x14ac:dyDescent="0.25">
      <c r="A1607" t="s">
        <v>612</v>
      </c>
      <c r="B1607" t="s">
        <v>44</v>
      </c>
      <c r="C1607" s="2">
        <f>HYPERLINK("https://cao.dolgi.msk.ru/account/1050314993/", 1050314993)</f>
        <v>1050314993</v>
      </c>
      <c r="D1607" s="4">
        <v>40829.519999999997</v>
      </c>
      <c r="E1607">
        <v>5.64</v>
      </c>
    </row>
    <row r="1608" spans="1:5" x14ac:dyDescent="0.25">
      <c r="A1608" t="s">
        <v>612</v>
      </c>
      <c r="B1608" t="s">
        <v>46</v>
      </c>
      <c r="C1608" s="2">
        <f>HYPERLINK("https://cao.dolgi.msk.ru/account/1050315013/", 1050315013)</f>
        <v>1050315013</v>
      </c>
      <c r="D1608" s="4">
        <v>7790.38</v>
      </c>
      <c r="E1608">
        <v>1.39</v>
      </c>
    </row>
    <row r="1609" spans="1:5" x14ac:dyDescent="0.25">
      <c r="A1609" t="s">
        <v>612</v>
      </c>
      <c r="B1609" t="s">
        <v>95</v>
      </c>
      <c r="C1609" s="2">
        <f>HYPERLINK("https://cao.dolgi.msk.ru/account/1050315056/", 1050315056)</f>
        <v>1050315056</v>
      </c>
      <c r="D1609" s="4">
        <v>7630.51</v>
      </c>
      <c r="E1609">
        <v>1.21</v>
      </c>
    </row>
    <row r="1610" spans="1:5" x14ac:dyDescent="0.25">
      <c r="A1610" t="s">
        <v>612</v>
      </c>
      <c r="B1610" t="s">
        <v>65</v>
      </c>
      <c r="C1610" s="2">
        <f>HYPERLINK("https://cao.dolgi.msk.ru/account/1050315275/", 1050315275)</f>
        <v>1050315275</v>
      </c>
      <c r="D1610" s="4">
        <v>5096.34</v>
      </c>
      <c r="E1610">
        <v>1.03</v>
      </c>
    </row>
    <row r="1611" spans="1:5" x14ac:dyDescent="0.25">
      <c r="A1611" t="s">
        <v>612</v>
      </c>
      <c r="B1611" t="s">
        <v>67</v>
      </c>
      <c r="C1611" s="2">
        <f>HYPERLINK("https://cao.dolgi.msk.ru/account/1050315291/", 1050315291)</f>
        <v>1050315291</v>
      </c>
      <c r="D1611" s="4">
        <v>21483.63</v>
      </c>
      <c r="E1611">
        <v>2.0099999999999998</v>
      </c>
    </row>
    <row r="1612" spans="1:5" x14ac:dyDescent="0.25">
      <c r="A1612" t="s">
        <v>612</v>
      </c>
      <c r="B1612" t="s">
        <v>68</v>
      </c>
      <c r="C1612" s="2">
        <f>HYPERLINK("https://cao.dolgi.msk.ru/account/1050315304/", 1050315304)</f>
        <v>1050315304</v>
      </c>
      <c r="D1612" s="4">
        <v>10050.82</v>
      </c>
      <c r="E1612">
        <v>1.1499999999999999</v>
      </c>
    </row>
    <row r="1613" spans="1:5" x14ac:dyDescent="0.25">
      <c r="A1613" t="s">
        <v>612</v>
      </c>
      <c r="B1613" t="s">
        <v>85</v>
      </c>
      <c r="C1613" s="2">
        <f>HYPERLINK("https://cao.dolgi.msk.ru/account/1050315515/", 1050315515)</f>
        <v>1050315515</v>
      </c>
      <c r="D1613" s="4">
        <v>6013.52</v>
      </c>
      <c r="E1613">
        <v>1.24</v>
      </c>
    </row>
    <row r="1614" spans="1:5" x14ac:dyDescent="0.25">
      <c r="A1614" t="s">
        <v>612</v>
      </c>
      <c r="B1614" t="s">
        <v>97</v>
      </c>
      <c r="C1614" s="2">
        <f>HYPERLINK("https://cao.dolgi.msk.ru/account/1058134161/", 1058134161)</f>
        <v>1058134161</v>
      </c>
      <c r="D1614" s="4">
        <v>5903.95</v>
      </c>
      <c r="E1614">
        <v>1.25</v>
      </c>
    </row>
    <row r="1615" spans="1:5" x14ac:dyDescent="0.25">
      <c r="A1615" t="s">
        <v>612</v>
      </c>
      <c r="B1615" t="s">
        <v>99</v>
      </c>
      <c r="C1615" s="2">
        <f>HYPERLINK("https://cao.dolgi.msk.ru/account/1050315646/", 1050315646)</f>
        <v>1050315646</v>
      </c>
      <c r="D1615" s="4">
        <v>6189.84</v>
      </c>
      <c r="E1615">
        <v>1.28</v>
      </c>
    </row>
    <row r="1616" spans="1:5" x14ac:dyDescent="0.25">
      <c r="A1616" t="s">
        <v>612</v>
      </c>
      <c r="B1616" t="s">
        <v>110</v>
      </c>
      <c r="C1616" s="2">
        <f>HYPERLINK("https://cao.dolgi.msk.ru/account/1050315777/", 1050315777)</f>
        <v>1050315777</v>
      </c>
      <c r="D1616" s="4">
        <v>5554</v>
      </c>
      <c r="E1616">
        <v>1.26</v>
      </c>
    </row>
    <row r="1617" spans="1:5" x14ac:dyDescent="0.25">
      <c r="A1617" t="s">
        <v>613</v>
      </c>
      <c r="B1617" t="s">
        <v>122</v>
      </c>
      <c r="C1617" s="2">
        <f>HYPERLINK("https://cao.dolgi.msk.ru/account/1050313317/", 1050313317)</f>
        <v>1050313317</v>
      </c>
      <c r="D1617" s="4">
        <v>7848.04</v>
      </c>
      <c r="E1617">
        <v>2</v>
      </c>
    </row>
    <row r="1618" spans="1:5" x14ac:dyDescent="0.25">
      <c r="A1618" t="s">
        <v>613</v>
      </c>
      <c r="B1618" t="s">
        <v>134</v>
      </c>
      <c r="C1618" s="2">
        <f>HYPERLINK("https://cao.dolgi.msk.ru/account/1050313456/", 1050313456)</f>
        <v>1050313456</v>
      </c>
      <c r="D1618" s="4">
        <v>11344.25</v>
      </c>
      <c r="E1618">
        <v>1.52</v>
      </c>
    </row>
    <row r="1619" spans="1:5" x14ac:dyDescent="0.25">
      <c r="A1619" t="s">
        <v>613</v>
      </c>
      <c r="B1619" t="s">
        <v>160</v>
      </c>
      <c r="C1619" s="2">
        <f>HYPERLINK("https://cao.dolgi.msk.ru/account/1050313755/", 1050313755)</f>
        <v>1050313755</v>
      </c>
      <c r="D1619" s="4">
        <v>10879.01</v>
      </c>
      <c r="E1619">
        <v>1.98</v>
      </c>
    </row>
    <row r="1620" spans="1:5" x14ac:dyDescent="0.25">
      <c r="A1620" t="s">
        <v>613</v>
      </c>
      <c r="B1620" t="s">
        <v>174</v>
      </c>
      <c r="C1620" s="2">
        <f>HYPERLINK("https://cao.dolgi.msk.ru/account/1050313974/", 1050313974)</f>
        <v>1050313974</v>
      </c>
      <c r="D1620" s="4">
        <v>66336.97</v>
      </c>
      <c r="E1620">
        <v>9.77</v>
      </c>
    </row>
    <row r="1621" spans="1:5" x14ac:dyDescent="0.25">
      <c r="A1621" t="s">
        <v>614</v>
      </c>
      <c r="B1621" t="s">
        <v>210</v>
      </c>
      <c r="C1621" s="2">
        <f>HYPERLINK("https://cao.dolgi.msk.ru/account/1050315953/", 1050315953)</f>
        <v>1050315953</v>
      </c>
      <c r="D1621" s="4">
        <v>6977.52</v>
      </c>
      <c r="E1621">
        <v>2</v>
      </c>
    </row>
    <row r="1622" spans="1:5" x14ac:dyDescent="0.25">
      <c r="A1622" t="s">
        <v>614</v>
      </c>
      <c r="B1622" t="s">
        <v>216</v>
      </c>
      <c r="C1622" s="2">
        <f>HYPERLINK("https://cao.dolgi.msk.ru/account/1050316067/", 1050316067)</f>
        <v>1050316067</v>
      </c>
      <c r="D1622" s="4">
        <v>10105.67</v>
      </c>
      <c r="E1622">
        <v>2.0299999999999998</v>
      </c>
    </row>
    <row r="1623" spans="1:5" x14ac:dyDescent="0.25">
      <c r="A1623" t="s">
        <v>614</v>
      </c>
      <c r="B1623" t="s">
        <v>310</v>
      </c>
      <c r="C1623" s="2">
        <f>HYPERLINK("https://cao.dolgi.msk.ru/account/1050316155/", 1050316155)</f>
        <v>1050316155</v>
      </c>
      <c r="D1623" s="4">
        <v>5781.44</v>
      </c>
      <c r="E1623">
        <v>1.18</v>
      </c>
    </row>
    <row r="1624" spans="1:5" x14ac:dyDescent="0.25">
      <c r="A1624" t="s">
        <v>614</v>
      </c>
      <c r="B1624" t="s">
        <v>283</v>
      </c>
      <c r="C1624" s="2">
        <f>HYPERLINK("https://cao.dolgi.msk.ru/account/1050316278/", 1050316278)</f>
        <v>1050316278</v>
      </c>
      <c r="D1624" s="4">
        <v>9131.9599999999991</v>
      </c>
      <c r="E1624">
        <v>2.08</v>
      </c>
    </row>
    <row r="1625" spans="1:5" x14ac:dyDescent="0.25">
      <c r="A1625" t="s">
        <v>614</v>
      </c>
      <c r="B1625" t="s">
        <v>288</v>
      </c>
      <c r="C1625" s="2">
        <f>HYPERLINK("https://cao.dolgi.msk.ru/account/1050316374/", 1050316374)</f>
        <v>1050316374</v>
      </c>
      <c r="D1625" s="4">
        <v>12215.5</v>
      </c>
      <c r="E1625">
        <v>1.83</v>
      </c>
    </row>
    <row r="1626" spans="1:5" x14ac:dyDescent="0.25">
      <c r="A1626" t="s">
        <v>614</v>
      </c>
      <c r="B1626" t="s">
        <v>293</v>
      </c>
      <c r="C1626" s="2">
        <f>HYPERLINK("https://cao.dolgi.msk.ru/account/1050316518/", 1050316518)</f>
        <v>1050316518</v>
      </c>
      <c r="D1626" s="4">
        <v>14137.72</v>
      </c>
      <c r="E1626">
        <v>4.22</v>
      </c>
    </row>
    <row r="1627" spans="1:5" x14ac:dyDescent="0.25">
      <c r="A1627" t="s">
        <v>614</v>
      </c>
      <c r="B1627" t="s">
        <v>451</v>
      </c>
      <c r="C1627" s="2">
        <f>HYPERLINK("https://cao.dolgi.msk.ru/account/1050316702/", 1050316702)</f>
        <v>1050316702</v>
      </c>
      <c r="D1627" s="4">
        <v>8202.2199999999993</v>
      </c>
      <c r="E1627">
        <v>1.84</v>
      </c>
    </row>
    <row r="1628" spans="1:5" x14ac:dyDescent="0.25">
      <c r="A1628" t="s">
        <v>615</v>
      </c>
      <c r="B1628" t="s">
        <v>6</v>
      </c>
      <c r="C1628" s="2">
        <f>HYPERLINK("https://cao.dolgi.msk.ru/account/1058169196/", 1058169196)</f>
        <v>1058169196</v>
      </c>
      <c r="D1628" s="4">
        <v>14009.38</v>
      </c>
      <c r="E1628">
        <v>2.66</v>
      </c>
    </row>
    <row r="1629" spans="1:5" x14ac:dyDescent="0.25">
      <c r="A1629" t="s">
        <v>615</v>
      </c>
      <c r="B1629" t="s">
        <v>9</v>
      </c>
      <c r="C1629" s="2">
        <f>HYPERLINK("https://cao.dolgi.msk.ru/account/1058151105/", 1058151105)</f>
        <v>1058151105</v>
      </c>
      <c r="D1629" s="4">
        <v>5469.9</v>
      </c>
      <c r="E1629">
        <v>1.01</v>
      </c>
    </row>
    <row r="1630" spans="1:5" x14ac:dyDescent="0.25">
      <c r="A1630" t="s">
        <v>615</v>
      </c>
      <c r="B1630" t="s">
        <v>27</v>
      </c>
      <c r="C1630" s="2">
        <f>HYPERLINK("https://cao.dolgi.msk.ru/account/1058146402/", 1058146402)</f>
        <v>1058146402</v>
      </c>
      <c r="D1630" s="4">
        <v>12155.13</v>
      </c>
      <c r="E1630">
        <v>2.78</v>
      </c>
    </row>
    <row r="1631" spans="1:5" x14ac:dyDescent="0.25">
      <c r="A1631" t="s">
        <v>615</v>
      </c>
      <c r="B1631" t="s">
        <v>35</v>
      </c>
      <c r="C1631" s="2">
        <f>HYPERLINK("https://cao.dolgi.msk.ru/account/1058148109/", 1058148109)</f>
        <v>1058148109</v>
      </c>
      <c r="D1631" s="4">
        <v>13485.04</v>
      </c>
      <c r="E1631">
        <v>2</v>
      </c>
    </row>
    <row r="1632" spans="1:5" x14ac:dyDescent="0.25">
      <c r="A1632" t="s">
        <v>615</v>
      </c>
      <c r="B1632" t="s">
        <v>38</v>
      </c>
      <c r="C1632" s="2">
        <f>HYPERLINK("https://cao.dolgi.msk.ru/account/1058154103/", 1058154103)</f>
        <v>1058154103</v>
      </c>
      <c r="D1632" s="4">
        <v>9437.74</v>
      </c>
      <c r="E1632">
        <v>2</v>
      </c>
    </row>
    <row r="1633" spans="1:5" x14ac:dyDescent="0.25">
      <c r="A1633" t="s">
        <v>615</v>
      </c>
      <c r="B1633" t="s">
        <v>39</v>
      </c>
      <c r="C1633" s="2">
        <f>HYPERLINK("https://cao.dolgi.msk.ru/account/1058173769/", 1058173769)</f>
        <v>1058173769</v>
      </c>
      <c r="D1633" s="4">
        <v>8650.4</v>
      </c>
      <c r="E1633">
        <v>2</v>
      </c>
    </row>
    <row r="1634" spans="1:5" x14ac:dyDescent="0.25">
      <c r="A1634" t="s">
        <v>615</v>
      </c>
      <c r="B1634" t="s">
        <v>50</v>
      </c>
      <c r="C1634" s="2">
        <f>HYPERLINK("https://cao.dolgi.msk.ru/account/1058138461/", 1058138461)</f>
        <v>1058138461</v>
      </c>
      <c r="D1634" s="4">
        <v>7055.84</v>
      </c>
      <c r="E1634">
        <v>1.1499999999999999</v>
      </c>
    </row>
    <row r="1635" spans="1:5" x14ac:dyDescent="0.25">
      <c r="A1635" t="s">
        <v>615</v>
      </c>
      <c r="B1635" t="s">
        <v>52</v>
      </c>
      <c r="C1635" s="2">
        <f>HYPERLINK("https://cao.dolgi.msk.ru/account/1058151228/", 1058151228)</f>
        <v>1058151228</v>
      </c>
      <c r="D1635" s="4">
        <v>10102.030000000001</v>
      </c>
      <c r="E1635">
        <v>2.04</v>
      </c>
    </row>
    <row r="1636" spans="1:5" x14ac:dyDescent="0.25">
      <c r="A1636" t="s">
        <v>615</v>
      </c>
      <c r="B1636" t="s">
        <v>66</v>
      </c>
      <c r="C1636" s="2">
        <f>HYPERLINK("https://cao.dolgi.msk.ru/account/1058148811/", 1058148811)</f>
        <v>1058148811</v>
      </c>
      <c r="D1636" s="4">
        <v>6812.68</v>
      </c>
      <c r="E1636">
        <v>2</v>
      </c>
    </row>
    <row r="1637" spans="1:5" x14ac:dyDescent="0.25">
      <c r="A1637" t="s">
        <v>615</v>
      </c>
      <c r="B1637" t="s">
        <v>87</v>
      </c>
      <c r="C1637" s="2">
        <f>HYPERLINK("https://cao.dolgi.msk.ru/account/1058161151/", 1058161151)</f>
        <v>1058161151</v>
      </c>
      <c r="D1637" s="4">
        <v>18589.82</v>
      </c>
      <c r="E1637">
        <v>3.93</v>
      </c>
    </row>
    <row r="1638" spans="1:5" x14ac:dyDescent="0.25">
      <c r="A1638" t="s">
        <v>615</v>
      </c>
      <c r="B1638" t="s">
        <v>90</v>
      </c>
      <c r="C1638" s="2">
        <f>HYPERLINK("https://cao.dolgi.msk.ru/account/1058168249/", 1058168249)</f>
        <v>1058168249</v>
      </c>
      <c r="D1638" s="4">
        <v>125873.1</v>
      </c>
      <c r="E1638">
        <v>25.17</v>
      </c>
    </row>
    <row r="1639" spans="1:5" x14ac:dyDescent="0.25">
      <c r="A1639" t="s">
        <v>615</v>
      </c>
      <c r="B1639" t="s">
        <v>91</v>
      </c>
      <c r="C1639" s="2">
        <f>HYPERLINK("https://cao.dolgi.msk.ru/account/1058168257/", 1058168257)</f>
        <v>1058168257</v>
      </c>
      <c r="D1639" s="4">
        <v>155073.32</v>
      </c>
      <c r="E1639">
        <v>25.44</v>
      </c>
    </row>
    <row r="1640" spans="1:5" x14ac:dyDescent="0.25">
      <c r="A1640" t="s">
        <v>615</v>
      </c>
      <c r="B1640" t="s">
        <v>103</v>
      </c>
      <c r="C1640" s="2">
        <f>HYPERLINK("https://cao.dolgi.msk.ru/account/1058144079/", 1058144079)</f>
        <v>1058144079</v>
      </c>
      <c r="D1640" s="4">
        <v>5537.25</v>
      </c>
      <c r="E1640">
        <v>1.1599999999999999</v>
      </c>
    </row>
    <row r="1641" spans="1:5" x14ac:dyDescent="0.25">
      <c r="A1641" t="s">
        <v>615</v>
      </c>
      <c r="B1641" t="s">
        <v>114</v>
      </c>
      <c r="C1641" s="2">
        <f>HYPERLINK("https://cao.dolgi.msk.ru/account/1058160247/", 1058160247)</f>
        <v>1058160247</v>
      </c>
      <c r="D1641" s="4">
        <v>20150.04</v>
      </c>
      <c r="E1641">
        <v>3.23</v>
      </c>
    </row>
    <row r="1642" spans="1:5" x14ac:dyDescent="0.25">
      <c r="A1642" t="s">
        <v>615</v>
      </c>
      <c r="B1642" t="s">
        <v>135</v>
      </c>
      <c r="C1642" s="2">
        <f>HYPERLINK("https://cao.dolgi.msk.ru/account/1058149582/", 1058149582)</f>
        <v>1058149582</v>
      </c>
      <c r="D1642" s="4">
        <v>14564.97</v>
      </c>
      <c r="E1642">
        <v>3</v>
      </c>
    </row>
    <row r="1643" spans="1:5" x14ac:dyDescent="0.25">
      <c r="A1643" t="s">
        <v>615</v>
      </c>
      <c r="B1643" t="s">
        <v>141</v>
      </c>
      <c r="C1643" s="2">
        <f>HYPERLINK("https://cao.dolgi.msk.ru/account/1058151594/", 1058151594)</f>
        <v>1058151594</v>
      </c>
      <c r="D1643" s="4">
        <v>9862.76</v>
      </c>
      <c r="E1643">
        <v>2.0299999999999998</v>
      </c>
    </row>
    <row r="1644" spans="1:5" x14ac:dyDescent="0.25">
      <c r="A1644" t="s">
        <v>615</v>
      </c>
      <c r="B1644" t="s">
        <v>144</v>
      </c>
      <c r="C1644" s="2">
        <f>HYPERLINK("https://cao.dolgi.msk.ru/account/1058168265/", 1058168265)</f>
        <v>1058168265</v>
      </c>
      <c r="D1644" s="4">
        <v>215674.14</v>
      </c>
      <c r="E1644">
        <v>26.14</v>
      </c>
    </row>
    <row r="1645" spans="1:5" x14ac:dyDescent="0.25">
      <c r="A1645" t="s">
        <v>615</v>
      </c>
      <c r="B1645" t="s">
        <v>145</v>
      </c>
      <c r="C1645" s="2">
        <f>HYPERLINK("https://cao.dolgi.msk.ru/account/1058168273/", 1058168273)</f>
        <v>1058168273</v>
      </c>
      <c r="D1645" s="4">
        <v>116615.09</v>
      </c>
      <c r="E1645">
        <v>24.67</v>
      </c>
    </row>
    <row r="1646" spans="1:5" x14ac:dyDescent="0.25">
      <c r="A1646" t="s">
        <v>616</v>
      </c>
      <c r="B1646" t="s">
        <v>37</v>
      </c>
      <c r="C1646" s="2">
        <f>HYPERLINK("https://cao.dolgi.msk.ru/account/1058154816/", 1058154816)</f>
        <v>1058154816</v>
      </c>
      <c r="D1646" s="4">
        <v>11181.8</v>
      </c>
      <c r="E1646">
        <v>2</v>
      </c>
    </row>
    <row r="1647" spans="1:5" x14ac:dyDescent="0.25">
      <c r="A1647" t="s">
        <v>616</v>
      </c>
      <c r="B1647" t="s">
        <v>45</v>
      </c>
      <c r="C1647" s="2">
        <f>HYPERLINK("https://cao.dolgi.msk.ru/account/1058144829/", 1058144829)</f>
        <v>1058144829</v>
      </c>
      <c r="D1647" s="4">
        <v>18576.900000000001</v>
      </c>
      <c r="E1647">
        <v>3.64</v>
      </c>
    </row>
    <row r="1648" spans="1:5" x14ac:dyDescent="0.25">
      <c r="A1648" t="s">
        <v>616</v>
      </c>
      <c r="B1648" t="s">
        <v>95</v>
      </c>
      <c r="C1648" s="2">
        <f>HYPERLINK("https://cao.dolgi.msk.ru/account/1058155894/", 1058155894)</f>
        <v>1058155894</v>
      </c>
      <c r="D1648" s="4">
        <v>13160.56</v>
      </c>
      <c r="E1648">
        <v>2.02</v>
      </c>
    </row>
    <row r="1649" spans="1:5" x14ac:dyDescent="0.25">
      <c r="A1649" t="s">
        <v>616</v>
      </c>
      <c r="B1649" t="s">
        <v>62</v>
      </c>
      <c r="C1649" s="2">
        <f>HYPERLINK("https://cao.dolgi.msk.ru/account/1058142559/", 1058142559)</f>
        <v>1058142559</v>
      </c>
      <c r="D1649" s="4">
        <v>6762.92</v>
      </c>
      <c r="E1649">
        <v>2</v>
      </c>
    </row>
    <row r="1650" spans="1:5" x14ac:dyDescent="0.25">
      <c r="A1650" t="s">
        <v>616</v>
      </c>
      <c r="B1650" t="s">
        <v>63</v>
      </c>
      <c r="C1650" s="2">
        <f>HYPERLINK("https://cao.dolgi.msk.ru/account/1058142567/", 1058142567)</f>
        <v>1058142567</v>
      </c>
      <c r="D1650" s="4">
        <v>8537.74</v>
      </c>
      <c r="E1650">
        <v>2</v>
      </c>
    </row>
    <row r="1651" spans="1:5" x14ac:dyDescent="0.25">
      <c r="A1651" t="s">
        <v>616</v>
      </c>
      <c r="B1651" t="s">
        <v>76</v>
      </c>
      <c r="C1651" s="2">
        <f>HYPERLINK("https://cao.dolgi.msk.ru/account/1058152319/", 1058152319)</f>
        <v>1058152319</v>
      </c>
      <c r="D1651" s="4">
        <v>10540.81</v>
      </c>
      <c r="E1651">
        <v>1.99</v>
      </c>
    </row>
    <row r="1652" spans="1:5" x14ac:dyDescent="0.25">
      <c r="A1652" t="s">
        <v>616</v>
      </c>
      <c r="B1652" t="s">
        <v>77</v>
      </c>
      <c r="C1652" s="2">
        <f>HYPERLINK("https://cao.dolgi.msk.ru/account/1058152386/", 1058152386)</f>
        <v>1058152386</v>
      </c>
      <c r="D1652" s="4">
        <v>15225.6</v>
      </c>
      <c r="E1652">
        <v>1.96</v>
      </c>
    </row>
    <row r="1653" spans="1:5" x14ac:dyDescent="0.25">
      <c r="A1653" t="s">
        <v>616</v>
      </c>
      <c r="B1653" t="s">
        <v>78</v>
      </c>
      <c r="C1653" s="2">
        <f>HYPERLINK("https://cao.dolgi.msk.ru/account/1058152415/", 1058152415)</f>
        <v>1058152415</v>
      </c>
      <c r="D1653" s="4">
        <v>7266.3</v>
      </c>
      <c r="E1653">
        <v>1.98</v>
      </c>
    </row>
    <row r="1654" spans="1:5" x14ac:dyDescent="0.25">
      <c r="A1654" t="s">
        <v>616</v>
      </c>
      <c r="B1654" t="s">
        <v>80</v>
      </c>
      <c r="C1654" s="2">
        <f>HYPERLINK("https://cao.dolgi.msk.ru/account/1058153426/", 1058153426)</f>
        <v>1058153426</v>
      </c>
      <c r="D1654" s="4">
        <v>13481.2</v>
      </c>
      <c r="E1654">
        <v>2</v>
      </c>
    </row>
    <row r="1655" spans="1:5" x14ac:dyDescent="0.25">
      <c r="A1655" t="s">
        <v>616</v>
      </c>
      <c r="B1655" t="s">
        <v>85</v>
      </c>
      <c r="C1655" s="2">
        <f>HYPERLINK("https://cao.dolgi.msk.ru/account/1058137207/", 1058137207)</f>
        <v>1058137207</v>
      </c>
      <c r="D1655" s="4">
        <v>69385.61</v>
      </c>
      <c r="E1655">
        <v>7.52</v>
      </c>
    </row>
    <row r="1656" spans="1:5" x14ac:dyDescent="0.25">
      <c r="A1656" t="s">
        <v>616</v>
      </c>
      <c r="B1656" t="s">
        <v>114</v>
      </c>
      <c r="C1656" s="2">
        <f>HYPERLINK("https://cao.dolgi.msk.ru/account/1058168724/", 1058168724)</f>
        <v>1058168724</v>
      </c>
      <c r="D1656" s="4">
        <v>12863.8</v>
      </c>
      <c r="E1656">
        <v>2.1</v>
      </c>
    </row>
    <row r="1657" spans="1:5" x14ac:dyDescent="0.25">
      <c r="A1657" t="s">
        <v>616</v>
      </c>
      <c r="B1657" t="s">
        <v>121</v>
      </c>
      <c r="C1657" s="2">
        <f>HYPERLINK("https://cao.dolgi.msk.ru/account/1058157187/", 1058157187)</f>
        <v>1058157187</v>
      </c>
      <c r="D1657" s="4">
        <v>12584.91</v>
      </c>
      <c r="E1657">
        <v>1.94</v>
      </c>
    </row>
    <row r="1658" spans="1:5" x14ac:dyDescent="0.25">
      <c r="A1658" t="s">
        <v>616</v>
      </c>
      <c r="B1658" t="s">
        <v>124</v>
      </c>
      <c r="C1658" s="2">
        <f>HYPERLINK("https://cao.dolgi.msk.ru/account/1058144554/", 1058144554)</f>
        <v>1058144554</v>
      </c>
      <c r="D1658" s="4">
        <v>7652.57</v>
      </c>
      <c r="E1658">
        <v>1.93</v>
      </c>
    </row>
    <row r="1659" spans="1:5" x14ac:dyDescent="0.25">
      <c r="A1659" t="s">
        <v>616</v>
      </c>
      <c r="B1659" t="s">
        <v>138</v>
      </c>
      <c r="C1659" s="2">
        <f>HYPERLINK("https://cao.dolgi.msk.ru/account/1058148432/", 1058148432)</f>
        <v>1058148432</v>
      </c>
      <c r="D1659" s="4">
        <v>8548.0499999999993</v>
      </c>
      <c r="E1659">
        <v>1.46</v>
      </c>
    </row>
    <row r="1660" spans="1:5" x14ac:dyDescent="0.25">
      <c r="A1660" t="s">
        <v>616</v>
      </c>
      <c r="B1660" t="s">
        <v>146</v>
      </c>
      <c r="C1660" s="2">
        <f>HYPERLINK("https://cao.dolgi.msk.ru/account/1058149873/", 1058149873)</f>
        <v>1058149873</v>
      </c>
      <c r="D1660" s="4">
        <v>11967.46</v>
      </c>
      <c r="E1660">
        <v>2</v>
      </c>
    </row>
    <row r="1661" spans="1:5" x14ac:dyDescent="0.25">
      <c r="A1661" t="s">
        <v>616</v>
      </c>
      <c r="B1661" t="s">
        <v>149</v>
      </c>
      <c r="C1661" s="2">
        <f>HYPERLINK("https://cao.dolgi.msk.ru/account/1058139093/", 1058139093)</f>
        <v>1058139093</v>
      </c>
      <c r="D1661" s="4">
        <v>9222.52</v>
      </c>
      <c r="E1661">
        <v>1.98</v>
      </c>
    </row>
    <row r="1662" spans="1:5" x14ac:dyDescent="0.25">
      <c r="A1662" t="s">
        <v>617</v>
      </c>
      <c r="B1662" t="s">
        <v>9</v>
      </c>
      <c r="C1662" s="2">
        <f>HYPERLINK("https://cao.dolgi.msk.ru/account/1058153434/", 1058153434)</f>
        <v>1058153434</v>
      </c>
      <c r="D1662" s="4">
        <v>7344.06</v>
      </c>
      <c r="E1662">
        <v>1.07</v>
      </c>
    </row>
    <row r="1663" spans="1:5" x14ac:dyDescent="0.25">
      <c r="A1663" t="s">
        <v>617</v>
      </c>
      <c r="B1663" t="s">
        <v>13</v>
      </c>
      <c r="C1663" s="2">
        <f>HYPERLINK("https://cao.dolgi.msk.ru/account/1058140895/", 1058140895)</f>
        <v>1058140895</v>
      </c>
      <c r="D1663" s="4">
        <v>32729.200000000001</v>
      </c>
      <c r="E1663">
        <v>3.98</v>
      </c>
    </row>
    <row r="1664" spans="1:5" x14ac:dyDescent="0.25">
      <c r="A1664" t="s">
        <v>617</v>
      </c>
      <c r="B1664" t="s">
        <v>14</v>
      </c>
      <c r="C1664" s="2">
        <f>HYPERLINK("https://cao.dolgi.msk.ru/account/1058168353/", 1058168353)</f>
        <v>1058168353</v>
      </c>
      <c r="D1664" s="4">
        <v>207430.28</v>
      </c>
      <c r="E1664">
        <v>26.16</v>
      </c>
    </row>
    <row r="1665" spans="1:5" x14ac:dyDescent="0.25">
      <c r="A1665" t="s">
        <v>617</v>
      </c>
      <c r="B1665" t="s">
        <v>16</v>
      </c>
      <c r="C1665" s="2">
        <f>HYPERLINK("https://cao.dolgi.msk.ru/account/1058151084/", 1058151084)</f>
        <v>1058151084</v>
      </c>
      <c r="D1665" s="4">
        <v>38192.18</v>
      </c>
      <c r="E1665">
        <v>7.92</v>
      </c>
    </row>
    <row r="1666" spans="1:5" x14ac:dyDescent="0.25">
      <c r="A1666" t="s">
        <v>617</v>
      </c>
      <c r="B1666" t="s">
        <v>17</v>
      </c>
      <c r="C1666" s="2">
        <f>HYPERLINK("https://cao.dolgi.msk.ru/account/1058168345/", 1058168345)</f>
        <v>1058168345</v>
      </c>
      <c r="D1666" s="4">
        <v>195010.83</v>
      </c>
      <c r="E1666">
        <v>26.22</v>
      </c>
    </row>
    <row r="1667" spans="1:5" x14ac:dyDescent="0.25">
      <c r="A1667" t="s">
        <v>617</v>
      </c>
      <c r="B1667" t="s">
        <v>24</v>
      </c>
      <c r="C1667" s="2">
        <f>HYPERLINK("https://cao.dolgi.msk.ru/account/1058160896/", 1058160896)</f>
        <v>1058160896</v>
      </c>
      <c r="D1667" s="4">
        <v>231418.28</v>
      </c>
      <c r="E1667">
        <v>39.78</v>
      </c>
    </row>
    <row r="1668" spans="1:5" x14ac:dyDescent="0.25">
      <c r="A1668" t="s">
        <v>617</v>
      </c>
      <c r="B1668" t="s">
        <v>26</v>
      </c>
      <c r="C1668" s="2">
        <f>HYPERLINK("https://cao.dolgi.msk.ru/account/1058169137/", 1058169137)</f>
        <v>1058169137</v>
      </c>
      <c r="D1668" s="4">
        <v>9620.58</v>
      </c>
      <c r="E1668">
        <v>1.19</v>
      </c>
    </row>
    <row r="1669" spans="1:5" x14ac:dyDescent="0.25">
      <c r="A1669" t="s">
        <v>617</v>
      </c>
      <c r="B1669" t="s">
        <v>39</v>
      </c>
      <c r="C1669" s="2">
        <f>HYPERLINK("https://cao.dolgi.msk.ru/account/1058144036/", 1058144036)</f>
        <v>1058144036</v>
      </c>
      <c r="D1669" s="4">
        <v>12523.46</v>
      </c>
      <c r="E1669">
        <v>1.98</v>
      </c>
    </row>
    <row r="1670" spans="1:5" x14ac:dyDescent="0.25">
      <c r="A1670" t="s">
        <v>617</v>
      </c>
      <c r="B1670" t="s">
        <v>45</v>
      </c>
      <c r="C1670" s="2">
        <f>HYPERLINK("https://cao.dolgi.msk.ru/account/1058138664/", 1058138664)</f>
        <v>1058138664</v>
      </c>
      <c r="D1670" s="4">
        <v>191380.98</v>
      </c>
      <c r="E1670">
        <v>22.21</v>
      </c>
    </row>
    <row r="1671" spans="1:5" x14ac:dyDescent="0.25">
      <c r="A1671" t="s">
        <v>617</v>
      </c>
      <c r="B1671" t="s">
        <v>94</v>
      </c>
      <c r="C1671" s="2">
        <f>HYPERLINK("https://cao.dolgi.msk.ru/account/1058138429/", 1058138429)</f>
        <v>1058138429</v>
      </c>
      <c r="D1671" s="4">
        <v>10515.34</v>
      </c>
      <c r="E1671">
        <v>1.97</v>
      </c>
    </row>
    <row r="1672" spans="1:5" x14ac:dyDescent="0.25">
      <c r="A1672" t="s">
        <v>617</v>
      </c>
      <c r="B1672" t="s">
        <v>59</v>
      </c>
      <c r="C1672" s="2">
        <f>HYPERLINK("https://cao.dolgi.msk.ru/account/1058144175/", 1058144175)</f>
        <v>1058144175</v>
      </c>
      <c r="D1672" s="4">
        <v>14943.66</v>
      </c>
      <c r="E1672">
        <v>2</v>
      </c>
    </row>
    <row r="1673" spans="1:5" x14ac:dyDescent="0.25">
      <c r="A1673" t="s">
        <v>617</v>
      </c>
      <c r="B1673" t="s">
        <v>69</v>
      </c>
      <c r="C1673" s="2">
        <f>HYPERLINK("https://cao.dolgi.msk.ru/account/1058141011/", 1058141011)</f>
        <v>1058141011</v>
      </c>
      <c r="D1673" s="4">
        <v>34130.04</v>
      </c>
      <c r="E1673">
        <v>5.41</v>
      </c>
    </row>
    <row r="1674" spans="1:5" x14ac:dyDescent="0.25">
      <c r="A1674" t="s">
        <v>617</v>
      </c>
      <c r="B1674" t="s">
        <v>75</v>
      </c>
      <c r="C1674" s="2">
        <f>HYPERLINK("https://cao.dolgi.msk.ru/account/1058141783/", 1058141783)</f>
        <v>1058141783</v>
      </c>
      <c r="D1674" s="4">
        <v>17100.52</v>
      </c>
      <c r="E1674">
        <v>1.86</v>
      </c>
    </row>
    <row r="1675" spans="1:5" x14ac:dyDescent="0.25">
      <c r="A1675" t="s">
        <v>617</v>
      </c>
      <c r="B1675" t="s">
        <v>85</v>
      </c>
      <c r="C1675" s="2">
        <f>HYPERLINK("https://cao.dolgi.msk.ru/account/1058148301/", 1058148301)</f>
        <v>1058148301</v>
      </c>
      <c r="D1675" s="4">
        <v>9056.93</v>
      </c>
      <c r="E1675">
        <v>1.99</v>
      </c>
    </row>
    <row r="1676" spans="1:5" x14ac:dyDescent="0.25">
      <c r="A1676" t="s">
        <v>617</v>
      </c>
      <c r="B1676" t="s">
        <v>122</v>
      </c>
      <c r="C1676" s="2">
        <f>HYPERLINK("https://cao.dolgi.msk.ru/account/1058198595/", 1058198595)</f>
        <v>1058198595</v>
      </c>
      <c r="D1676" s="4">
        <v>288043.69</v>
      </c>
      <c r="E1676">
        <v>44.88</v>
      </c>
    </row>
    <row r="1677" spans="1:5" x14ac:dyDescent="0.25">
      <c r="A1677" t="s">
        <v>617</v>
      </c>
      <c r="B1677" t="s">
        <v>132</v>
      </c>
      <c r="C1677" s="2">
        <f>HYPERLINK("https://cao.dolgi.msk.ru/account/1058151287/", 1058151287)</f>
        <v>1058151287</v>
      </c>
      <c r="D1677" s="4">
        <v>12943.22</v>
      </c>
      <c r="E1677">
        <v>2</v>
      </c>
    </row>
    <row r="1678" spans="1:5" x14ac:dyDescent="0.25">
      <c r="A1678" t="s">
        <v>617</v>
      </c>
      <c r="B1678" t="s">
        <v>145</v>
      </c>
      <c r="C1678" s="2">
        <f>HYPERLINK("https://cao.dolgi.msk.ru/account/1058150743/", 1058150743)</f>
        <v>1058150743</v>
      </c>
      <c r="D1678" s="4">
        <v>237617.83</v>
      </c>
      <c r="E1678">
        <v>37.799999999999997</v>
      </c>
    </row>
    <row r="1679" spans="1:5" x14ac:dyDescent="0.25">
      <c r="A1679" t="s">
        <v>617</v>
      </c>
      <c r="B1679" t="s">
        <v>147</v>
      </c>
      <c r="C1679" s="2">
        <f>HYPERLINK("https://cao.dolgi.msk.ru/account/1058157371/", 1058157371)</f>
        <v>1058157371</v>
      </c>
      <c r="D1679" s="4">
        <v>15568.28</v>
      </c>
      <c r="E1679">
        <v>2</v>
      </c>
    </row>
    <row r="1680" spans="1:5" x14ac:dyDescent="0.25">
      <c r="A1680" t="s">
        <v>617</v>
      </c>
      <c r="B1680" t="s">
        <v>148</v>
      </c>
      <c r="C1680" s="2">
        <f>HYPERLINK("https://cao.dolgi.msk.ru/account/1058157427/", 1058157427)</f>
        <v>1058157427</v>
      </c>
      <c r="D1680" s="4">
        <v>23947.3</v>
      </c>
      <c r="E1680">
        <v>3.77</v>
      </c>
    </row>
    <row r="1681" spans="1:5" x14ac:dyDescent="0.25">
      <c r="A1681" t="s">
        <v>618</v>
      </c>
      <c r="B1681" t="s">
        <v>15</v>
      </c>
      <c r="C1681" s="2">
        <f>HYPERLINK("https://cao.dolgi.msk.ru/account/1058137936/", 1058137936)</f>
        <v>1058137936</v>
      </c>
      <c r="D1681" s="4">
        <v>79681.600000000006</v>
      </c>
      <c r="E1681">
        <v>13.9</v>
      </c>
    </row>
    <row r="1682" spans="1:5" x14ac:dyDescent="0.25">
      <c r="A1682" t="s">
        <v>618</v>
      </c>
      <c r="B1682" t="s">
        <v>40</v>
      </c>
      <c r="C1682" s="2">
        <f>HYPERLINK("https://cao.dolgi.msk.ru/account/1058161565/", 1058161565)</f>
        <v>1058161565</v>
      </c>
      <c r="D1682" s="4">
        <v>7153.65</v>
      </c>
      <c r="E1682">
        <v>1.39</v>
      </c>
    </row>
    <row r="1683" spans="1:5" x14ac:dyDescent="0.25">
      <c r="A1683" t="s">
        <v>618</v>
      </c>
      <c r="B1683" t="s">
        <v>58</v>
      </c>
      <c r="C1683" s="2">
        <f>HYPERLINK("https://cao.dolgi.msk.ru/account/1058142751/", 1058142751)</f>
        <v>1058142751</v>
      </c>
      <c r="D1683" s="4">
        <v>11596.77</v>
      </c>
      <c r="E1683">
        <v>2.2400000000000002</v>
      </c>
    </row>
    <row r="1684" spans="1:5" x14ac:dyDescent="0.25">
      <c r="A1684" t="s">
        <v>618</v>
      </c>
      <c r="B1684" t="s">
        <v>59</v>
      </c>
      <c r="C1684" s="2">
        <f>HYPERLINK("https://cao.dolgi.msk.ru/account/1058154824/", 1058154824)</f>
        <v>1058154824</v>
      </c>
      <c r="D1684" s="4">
        <v>10846.66</v>
      </c>
      <c r="E1684">
        <v>2</v>
      </c>
    </row>
    <row r="1685" spans="1:5" x14ac:dyDescent="0.25">
      <c r="A1685" t="s">
        <v>618</v>
      </c>
      <c r="B1685" t="s">
        <v>71</v>
      </c>
      <c r="C1685" s="2">
        <f>HYPERLINK("https://cao.dolgi.msk.ru/account/1058161442/", 1058161442)</f>
        <v>1058161442</v>
      </c>
      <c r="D1685" s="4">
        <v>12417.2</v>
      </c>
      <c r="E1685">
        <v>2.0299999999999998</v>
      </c>
    </row>
    <row r="1686" spans="1:5" x14ac:dyDescent="0.25">
      <c r="A1686" t="s">
        <v>618</v>
      </c>
      <c r="B1686" t="s">
        <v>73</v>
      </c>
      <c r="C1686" s="2">
        <f>HYPERLINK("https://cao.dolgi.msk.ru/account/1058148029/", 1058148029)</f>
        <v>1058148029</v>
      </c>
      <c r="D1686" s="4">
        <v>11652.22</v>
      </c>
      <c r="E1686">
        <v>2</v>
      </c>
    </row>
    <row r="1687" spans="1:5" x14ac:dyDescent="0.25">
      <c r="A1687" t="s">
        <v>618</v>
      </c>
      <c r="B1687" t="s">
        <v>76</v>
      </c>
      <c r="C1687" s="2">
        <f>HYPERLINK("https://cao.dolgi.msk.ru/account/1058154496/", 1058154496)</f>
        <v>1058154496</v>
      </c>
      <c r="D1687" s="4">
        <v>11293.44</v>
      </c>
      <c r="E1687">
        <v>1.84</v>
      </c>
    </row>
    <row r="1688" spans="1:5" x14ac:dyDescent="0.25">
      <c r="A1688" t="s">
        <v>618</v>
      </c>
      <c r="B1688" t="s">
        <v>84</v>
      </c>
      <c r="C1688" s="2">
        <f>HYPERLINK("https://cao.dolgi.msk.ru/account/1058158497/", 1058158497)</f>
        <v>1058158497</v>
      </c>
      <c r="D1688" s="4">
        <v>13107.56</v>
      </c>
      <c r="E1688">
        <v>2.4300000000000002</v>
      </c>
    </row>
    <row r="1689" spans="1:5" x14ac:dyDescent="0.25">
      <c r="A1689" t="s">
        <v>618</v>
      </c>
      <c r="B1689" t="s">
        <v>101</v>
      </c>
      <c r="C1689" s="2">
        <f>HYPERLINK("https://cao.dolgi.msk.ru/account/1058161653/", 1058161653)</f>
        <v>1058161653</v>
      </c>
      <c r="D1689" s="4">
        <v>17516.21</v>
      </c>
      <c r="E1689">
        <v>2.79</v>
      </c>
    </row>
    <row r="1690" spans="1:5" x14ac:dyDescent="0.25">
      <c r="A1690" t="s">
        <v>618</v>
      </c>
      <c r="B1690" t="s">
        <v>103</v>
      </c>
      <c r="C1690" s="2">
        <f>HYPERLINK("https://cao.dolgi.msk.ru/account/1058140385/", 1058140385)</f>
        <v>1058140385</v>
      </c>
      <c r="D1690" s="4">
        <v>16771</v>
      </c>
      <c r="E1690">
        <v>2.67</v>
      </c>
    </row>
    <row r="1691" spans="1:5" x14ac:dyDescent="0.25">
      <c r="A1691" t="s">
        <v>618</v>
      </c>
      <c r="B1691" t="s">
        <v>105</v>
      </c>
      <c r="C1691" s="2">
        <f>HYPERLINK("https://cao.dolgi.msk.ru/account/1058138867/", 1058138867)</f>
        <v>1058138867</v>
      </c>
      <c r="D1691" s="4">
        <v>11639.48</v>
      </c>
      <c r="E1691">
        <v>2</v>
      </c>
    </row>
    <row r="1692" spans="1:5" x14ac:dyDescent="0.25">
      <c r="A1692" t="s">
        <v>618</v>
      </c>
      <c r="B1692" t="s">
        <v>106</v>
      </c>
      <c r="C1692" s="2">
        <f>HYPERLINK("https://cao.dolgi.msk.ru/account/1058138859/", 1058138859)</f>
        <v>1058138859</v>
      </c>
      <c r="D1692" s="4">
        <v>18355.400000000001</v>
      </c>
      <c r="E1692">
        <v>2</v>
      </c>
    </row>
    <row r="1693" spans="1:5" x14ac:dyDescent="0.25">
      <c r="A1693" t="s">
        <v>618</v>
      </c>
      <c r="B1693" t="s">
        <v>110</v>
      </c>
      <c r="C1693" s="2">
        <f>HYPERLINK("https://cao.dolgi.msk.ru/account/1058160781/", 1058160781)</f>
        <v>1058160781</v>
      </c>
      <c r="D1693" s="4">
        <v>23754.89</v>
      </c>
      <c r="E1693">
        <v>3.01</v>
      </c>
    </row>
    <row r="1694" spans="1:5" x14ac:dyDescent="0.25">
      <c r="A1694" t="s">
        <v>618</v>
      </c>
      <c r="B1694" t="s">
        <v>114</v>
      </c>
      <c r="C1694" s="2">
        <f>HYPERLINK("https://cao.dolgi.msk.ru/account/1058155421/", 1058155421)</f>
        <v>1058155421</v>
      </c>
      <c r="D1694" s="4">
        <v>22594.32</v>
      </c>
      <c r="E1694">
        <v>3.02</v>
      </c>
    </row>
    <row r="1695" spans="1:5" x14ac:dyDescent="0.25">
      <c r="A1695" t="s">
        <v>618</v>
      </c>
      <c r="B1695" t="s">
        <v>137</v>
      </c>
      <c r="C1695" s="2">
        <f>HYPERLINK("https://cao.dolgi.msk.ru/account/1058170349/", 1058170349)</f>
        <v>1058170349</v>
      </c>
      <c r="D1695" s="4">
        <v>16146.94</v>
      </c>
      <c r="E1695">
        <v>2</v>
      </c>
    </row>
    <row r="1696" spans="1:5" x14ac:dyDescent="0.25">
      <c r="A1696" t="s">
        <v>619</v>
      </c>
      <c r="B1696" t="s">
        <v>14</v>
      </c>
      <c r="C1696" s="2">
        <f>HYPERLINK("https://cao.dolgi.msk.ru/account/1058168556/", 1058168556)</f>
        <v>1058168556</v>
      </c>
      <c r="D1696" s="4">
        <v>253135.45</v>
      </c>
      <c r="E1696">
        <v>31.28</v>
      </c>
    </row>
    <row r="1697" spans="1:5" x14ac:dyDescent="0.25">
      <c r="A1697" t="s">
        <v>619</v>
      </c>
      <c r="B1697" t="s">
        <v>15</v>
      </c>
      <c r="C1697" s="2">
        <f>HYPERLINK("https://cao.dolgi.msk.ru/account/1058168564/", 1058168564)</f>
        <v>1058168564</v>
      </c>
      <c r="D1697" s="4">
        <v>196819.21</v>
      </c>
      <c r="E1697">
        <v>17.57</v>
      </c>
    </row>
    <row r="1698" spans="1:5" x14ac:dyDescent="0.25">
      <c r="A1698" t="s">
        <v>619</v>
      </c>
      <c r="B1698" t="s">
        <v>21</v>
      </c>
      <c r="C1698" s="2">
        <f>HYPERLINK("https://cao.dolgi.msk.ru/account/1058160933/", 1058160933)</f>
        <v>1058160933</v>
      </c>
      <c r="D1698" s="4">
        <v>306341.38</v>
      </c>
      <c r="E1698">
        <v>47.95</v>
      </c>
    </row>
    <row r="1699" spans="1:5" x14ac:dyDescent="0.25">
      <c r="A1699" t="s">
        <v>619</v>
      </c>
      <c r="B1699" t="s">
        <v>27</v>
      </c>
      <c r="C1699" s="2">
        <f>HYPERLINK("https://cao.dolgi.msk.ru/account/1058169049/", 1058169049)</f>
        <v>1058169049</v>
      </c>
      <c r="D1699" s="4">
        <v>18858.3</v>
      </c>
      <c r="E1699">
        <v>3</v>
      </c>
    </row>
    <row r="1700" spans="1:5" x14ac:dyDescent="0.25">
      <c r="A1700" t="s">
        <v>619</v>
      </c>
      <c r="B1700" t="s">
        <v>28</v>
      </c>
      <c r="C1700" s="2">
        <f>HYPERLINK("https://cao.dolgi.msk.ru/account/1058146584/", 1058146584)</f>
        <v>1058146584</v>
      </c>
      <c r="D1700" s="4">
        <v>11190.93</v>
      </c>
      <c r="E1700">
        <v>1.77</v>
      </c>
    </row>
    <row r="1701" spans="1:5" x14ac:dyDescent="0.25">
      <c r="A1701" t="s">
        <v>620</v>
      </c>
      <c r="B1701" t="s">
        <v>9</v>
      </c>
      <c r="C1701" s="2">
        <f>HYPERLINK("https://cao.dolgi.msk.ru/account/1058140529/", 1058140529)</f>
        <v>1058140529</v>
      </c>
      <c r="D1701" s="4">
        <v>15969.56</v>
      </c>
      <c r="E1701">
        <v>2.44</v>
      </c>
    </row>
    <row r="1702" spans="1:5" x14ac:dyDescent="0.25">
      <c r="A1702" t="s">
        <v>620</v>
      </c>
      <c r="B1702" t="s">
        <v>10</v>
      </c>
      <c r="C1702" s="2">
        <f>HYPERLINK("https://cao.dolgi.msk.ru/account/1058146138/", 1058146138)</f>
        <v>1058146138</v>
      </c>
      <c r="D1702" s="4">
        <v>5645.86</v>
      </c>
      <c r="E1702">
        <v>2.0499999999999998</v>
      </c>
    </row>
    <row r="1703" spans="1:5" x14ac:dyDescent="0.25">
      <c r="A1703" t="s">
        <v>620</v>
      </c>
      <c r="B1703" t="s">
        <v>11</v>
      </c>
      <c r="C1703" s="2">
        <f>HYPERLINK("https://cao.dolgi.msk.ru/account/1058146197/", 1058146197)</f>
        <v>1058146197</v>
      </c>
      <c r="D1703" s="4">
        <v>10120.44</v>
      </c>
      <c r="E1703">
        <v>1.97</v>
      </c>
    </row>
    <row r="1704" spans="1:5" x14ac:dyDescent="0.25">
      <c r="A1704" t="s">
        <v>620</v>
      </c>
      <c r="B1704" t="s">
        <v>14</v>
      </c>
      <c r="C1704" s="2">
        <f>HYPERLINK("https://cao.dolgi.msk.ru/account/1058138672/", 1058138672)</f>
        <v>1058138672</v>
      </c>
      <c r="D1704" s="4">
        <v>9495.94</v>
      </c>
      <c r="E1704">
        <v>2</v>
      </c>
    </row>
    <row r="1705" spans="1:5" x14ac:dyDescent="0.25">
      <c r="A1705" t="s">
        <v>620</v>
      </c>
      <c r="B1705" t="s">
        <v>16</v>
      </c>
      <c r="C1705" s="2">
        <f>HYPERLINK("https://cao.dolgi.msk.ru/account/1058154066/", 1058154066)</f>
        <v>1058154066</v>
      </c>
      <c r="D1705" s="4">
        <v>7250.98</v>
      </c>
      <c r="E1705">
        <v>1.01</v>
      </c>
    </row>
    <row r="1706" spans="1:5" x14ac:dyDescent="0.25">
      <c r="A1706" t="s">
        <v>620</v>
      </c>
      <c r="B1706" t="s">
        <v>17</v>
      </c>
      <c r="C1706" s="2">
        <f>HYPERLINK("https://cao.dolgi.msk.ru/account/1058151391/", 1058151391)</f>
        <v>1058151391</v>
      </c>
      <c r="D1706" s="4">
        <v>12545.67</v>
      </c>
      <c r="E1706">
        <v>2</v>
      </c>
    </row>
    <row r="1707" spans="1:5" x14ac:dyDescent="0.25">
      <c r="A1707" t="s">
        <v>620</v>
      </c>
      <c r="B1707" t="s">
        <v>26</v>
      </c>
      <c r="C1707" s="2">
        <f>HYPERLINK("https://cao.dolgi.msk.ru/account/1058149013/", 1058149013)</f>
        <v>1058149013</v>
      </c>
      <c r="D1707" s="4">
        <v>9182.35</v>
      </c>
      <c r="E1707">
        <v>1.98</v>
      </c>
    </row>
    <row r="1708" spans="1:5" x14ac:dyDescent="0.25">
      <c r="A1708" t="s">
        <v>620</v>
      </c>
      <c r="B1708" t="s">
        <v>29</v>
      </c>
      <c r="C1708" s="2">
        <f>HYPERLINK("https://cao.dolgi.msk.ru/account/1058150268/", 1058150268)</f>
        <v>1058150268</v>
      </c>
      <c r="D1708" s="4">
        <v>12307.34</v>
      </c>
      <c r="E1708">
        <v>2</v>
      </c>
    </row>
    <row r="1709" spans="1:5" x14ac:dyDescent="0.25">
      <c r="A1709" t="s">
        <v>620</v>
      </c>
      <c r="B1709" t="s">
        <v>44</v>
      </c>
      <c r="C1709" s="2">
        <f>HYPERLINK("https://cao.dolgi.msk.ru/account/1058144773/", 1058144773)</f>
        <v>1058144773</v>
      </c>
      <c r="D1709" s="4">
        <v>33849.339999999997</v>
      </c>
      <c r="E1709">
        <v>4</v>
      </c>
    </row>
    <row r="1710" spans="1:5" x14ac:dyDescent="0.25">
      <c r="A1710" t="s">
        <v>620</v>
      </c>
      <c r="B1710" t="s">
        <v>94</v>
      </c>
      <c r="C1710" s="2">
        <f>HYPERLINK("https://cao.dolgi.msk.ru/account/1058139675/", 1058139675)</f>
        <v>1058139675</v>
      </c>
      <c r="D1710" s="4">
        <v>58339.79</v>
      </c>
      <c r="E1710">
        <v>4.9800000000000004</v>
      </c>
    </row>
    <row r="1711" spans="1:5" x14ac:dyDescent="0.25">
      <c r="A1711" t="s">
        <v>620</v>
      </c>
      <c r="B1711" t="s">
        <v>50</v>
      </c>
      <c r="C1711" s="2">
        <f>HYPERLINK("https://cao.dolgi.msk.ru/account/1058150698/", 1058150698)</f>
        <v>1058150698</v>
      </c>
      <c r="D1711" s="4">
        <v>17639.939999999999</v>
      </c>
      <c r="E1711">
        <v>3</v>
      </c>
    </row>
    <row r="1712" spans="1:5" x14ac:dyDescent="0.25">
      <c r="A1712" t="s">
        <v>620</v>
      </c>
      <c r="B1712" t="s">
        <v>51</v>
      </c>
      <c r="C1712" s="2">
        <f>HYPERLINK("https://cao.dolgi.msk.ru/account/1058145151/", 1058145151)</f>
        <v>1058145151</v>
      </c>
      <c r="D1712" s="4">
        <v>8248.48</v>
      </c>
      <c r="E1712">
        <v>1.24</v>
      </c>
    </row>
    <row r="1713" spans="1:5" x14ac:dyDescent="0.25">
      <c r="A1713" t="s">
        <v>621</v>
      </c>
      <c r="B1713" t="s">
        <v>10</v>
      </c>
      <c r="C1713" s="2">
        <f>HYPERLINK("https://cao.dolgi.msk.ru/account/1050423364/", 1050423364)</f>
        <v>1050423364</v>
      </c>
      <c r="D1713" s="4">
        <v>8272.6</v>
      </c>
      <c r="E1713">
        <v>1.9</v>
      </c>
    </row>
    <row r="1714" spans="1:5" x14ac:dyDescent="0.25">
      <c r="A1714" t="s">
        <v>621</v>
      </c>
      <c r="B1714" t="s">
        <v>21</v>
      </c>
      <c r="C1714" s="2">
        <f>HYPERLINK("https://cao.dolgi.msk.ru/account/1050423516/", 1050423516)</f>
        <v>1050423516</v>
      </c>
      <c r="D1714" s="4">
        <v>13424.24</v>
      </c>
      <c r="E1714">
        <v>3.89</v>
      </c>
    </row>
    <row r="1715" spans="1:5" x14ac:dyDescent="0.25">
      <c r="A1715" t="s">
        <v>621</v>
      </c>
      <c r="B1715" t="s">
        <v>55</v>
      </c>
      <c r="C1715" s="2">
        <f>HYPERLINK("https://cao.dolgi.msk.ru/account/1050423946/", 1050423946)</f>
        <v>1050423946</v>
      </c>
      <c r="D1715" s="4">
        <v>48811.85</v>
      </c>
      <c r="E1715">
        <v>8.52</v>
      </c>
    </row>
    <row r="1716" spans="1:5" x14ac:dyDescent="0.25">
      <c r="A1716" t="s">
        <v>621</v>
      </c>
      <c r="B1716" t="s">
        <v>56</v>
      </c>
      <c r="C1716" s="2">
        <f>HYPERLINK("https://cao.dolgi.msk.ru/account/1050423954/", 1050423954)</f>
        <v>1050423954</v>
      </c>
      <c r="D1716" s="4">
        <v>23765.9</v>
      </c>
      <c r="E1716">
        <v>3.01</v>
      </c>
    </row>
    <row r="1717" spans="1:5" x14ac:dyDescent="0.25">
      <c r="A1717" t="s">
        <v>622</v>
      </c>
      <c r="B1717" t="s">
        <v>26</v>
      </c>
      <c r="C1717" s="2">
        <f>HYPERLINK("https://cao.dolgi.msk.ru/account/1059014962/", 1059014962)</f>
        <v>1059014962</v>
      </c>
      <c r="D1717" s="4">
        <v>12245.82</v>
      </c>
      <c r="E1717">
        <v>1.22</v>
      </c>
    </row>
    <row r="1718" spans="1:5" x14ac:dyDescent="0.25">
      <c r="A1718" t="s">
        <v>622</v>
      </c>
      <c r="B1718" t="s">
        <v>27</v>
      </c>
      <c r="C1718" s="2">
        <f>HYPERLINK("https://cao.dolgi.msk.ru/account/1059014989/", 1059014989)</f>
        <v>1059014989</v>
      </c>
      <c r="D1718" s="4">
        <v>5749.31</v>
      </c>
      <c r="E1718">
        <v>1.1499999999999999</v>
      </c>
    </row>
    <row r="1719" spans="1:5" x14ac:dyDescent="0.25">
      <c r="A1719" t="s">
        <v>622</v>
      </c>
      <c r="B1719" t="s">
        <v>37</v>
      </c>
      <c r="C1719" s="2">
        <f>HYPERLINK("https://cao.dolgi.msk.ru/account/1059015092/", 1059015092)</f>
        <v>1059015092</v>
      </c>
      <c r="D1719" s="4">
        <v>7190.1</v>
      </c>
      <c r="E1719">
        <v>2.02</v>
      </c>
    </row>
    <row r="1720" spans="1:5" x14ac:dyDescent="0.25">
      <c r="A1720" t="s">
        <v>622</v>
      </c>
      <c r="B1720" t="s">
        <v>45</v>
      </c>
      <c r="C1720" s="2">
        <f>HYPERLINK("https://cao.dolgi.msk.ru/account/1059015199/", 1059015199)</f>
        <v>1059015199</v>
      </c>
      <c r="D1720" s="4">
        <v>14506.25</v>
      </c>
      <c r="E1720">
        <v>2.81</v>
      </c>
    </row>
    <row r="1721" spans="1:5" x14ac:dyDescent="0.25">
      <c r="A1721" t="s">
        <v>622</v>
      </c>
      <c r="B1721" t="s">
        <v>52</v>
      </c>
      <c r="C1721" s="2">
        <f>HYPERLINK("https://cao.dolgi.msk.ru/account/1059015308/", 1059015308)</f>
        <v>1059015308</v>
      </c>
      <c r="D1721" s="4">
        <v>5239.03</v>
      </c>
      <c r="E1721">
        <v>1.18</v>
      </c>
    </row>
    <row r="1722" spans="1:5" x14ac:dyDescent="0.25">
      <c r="A1722" t="s">
        <v>623</v>
      </c>
      <c r="B1722" t="s">
        <v>93</v>
      </c>
      <c r="C1722" s="2">
        <f>HYPERLINK("https://cao.dolgi.msk.ru/account/1059013185/", 1059013185)</f>
        <v>1059013185</v>
      </c>
      <c r="D1722" s="4">
        <v>26327.759999999998</v>
      </c>
      <c r="E1722">
        <v>4.99</v>
      </c>
    </row>
    <row r="1723" spans="1:5" x14ac:dyDescent="0.25">
      <c r="A1723" t="s">
        <v>623</v>
      </c>
      <c r="B1723" t="s">
        <v>69</v>
      </c>
      <c r="C1723" s="2">
        <f>HYPERLINK("https://cao.dolgi.msk.ru/account/1059015893/", 1059015893)</f>
        <v>1059015893</v>
      </c>
      <c r="D1723" s="4">
        <v>5419.29</v>
      </c>
      <c r="E1723">
        <v>1.17</v>
      </c>
    </row>
    <row r="1724" spans="1:5" x14ac:dyDescent="0.25">
      <c r="A1724" t="s">
        <v>623</v>
      </c>
      <c r="B1724" t="s">
        <v>78</v>
      </c>
      <c r="C1724" s="2">
        <f>HYPERLINK("https://cao.dolgi.msk.ru/account/1058024843/", 1058024843)</f>
        <v>1058024843</v>
      </c>
      <c r="D1724" s="4">
        <v>14212.79</v>
      </c>
      <c r="E1724">
        <v>1.98</v>
      </c>
    </row>
    <row r="1725" spans="1:5" x14ac:dyDescent="0.25">
      <c r="A1725" t="s">
        <v>623</v>
      </c>
      <c r="B1725" t="s">
        <v>83</v>
      </c>
      <c r="C1725" s="2">
        <f>HYPERLINK("https://cao.dolgi.msk.ru/account/1059016992/", 1059016992)</f>
        <v>1059016992</v>
      </c>
      <c r="D1725" s="4">
        <v>19998.59</v>
      </c>
      <c r="E1725">
        <v>1.99</v>
      </c>
    </row>
    <row r="1726" spans="1:5" x14ac:dyDescent="0.25">
      <c r="A1726" t="s">
        <v>623</v>
      </c>
      <c r="B1726" t="s">
        <v>84</v>
      </c>
      <c r="C1726" s="2">
        <f>HYPERLINK("https://cao.dolgi.msk.ru/account/1059012238/", 1059012238)</f>
        <v>1059012238</v>
      </c>
      <c r="D1726" s="4">
        <v>7921.12</v>
      </c>
      <c r="E1726">
        <v>1.74</v>
      </c>
    </row>
    <row r="1727" spans="1:5" x14ac:dyDescent="0.25">
      <c r="A1727" t="s">
        <v>623</v>
      </c>
      <c r="B1727" t="s">
        <v>96</v>
      </c>
      <c r="C1727" s="2">
        <f>HYPERLINK("https://cao.dolgi.msk.ru/account/1059010857/", 1059010857)</f>
        <v>1059010857</v>
      </c>
      <c r="D1727" s="4">
        <v>7773.96</v>
      </c>
      <c r="E1727">
        <v>1.02</v>
      </c>
    </row>
    <row r="1728" spans="1:5" x14ac:dyDescent="0.25">
      <c r="A1728" t="s">
        <v>623</v>
      </c>
      <c r="B1728" t="s">
        <v>101</v>
      </c>
      <c r="C1728" s="2">
        <f>HYPERLINK("https://cao.dolgi.msk.ru/account/1059009493/", 1059009493)</f>
        <v>1059009493</v>
      </c>
      <c r="D1728" s="4">
        <v>10546.29</v>
      </c>
      <c r="E1728">
        <v>1.96</v>
      </c>
    </row>
    <row r="1729" spans="1:5" x14ac:dyDescent="0.25">
      <c r="A1729" t="s">
        <v>624</v>
      </c>
      <c r="B1729" t="s">
        <v>17</v>
      </c>
      <c r="C1729" s="2">
        <f>HYPERLINK("https://cao.dolgi.msk.ru/account/1050424949/", 1050424949)</f>
        <v>1050424949</v>
      </c>
      <c r="D1729" s="4">
        <v>9890.17</v>
      </c>
      <c r="E1729">
        <v>1.89</v>
      </c>
    </row>
    <row r="1730" spans="1:5" x14ac:dyDescent="0.25">
      <c r="A1730" t="s">
        <v>624</v>
      </c>
      <c r="B1730" t="s">
        <v>93</v>
      </c>
      <c r="C1730" s="2">
        <f>HYPERLINK("https://cao.dolgi.msk.ru/account/1050425079/", 1050425079)</f>
        <v>1050425079</v>
      </c>
      <c r="D1730" s="4">
        <v>34643.67</v>
      </c>
      <c r="E1730">
        <v>6.71</v>
      </c>
    </row>
    <row r="1731" spans="1:5" x14ac:dyDescent="0.25">
      <c r="A1731" t="s">
        <v>625</v>
      </c>
      <c r="B1731" t="s">
        <v>66</v>
      </c>
      <c r="C1731" s="2">
        <f>HYPERLINK("https://cao.dolgi.msk.ru/account/1050425466/", 1050425466)</f>
        <v>1050425466</v>
      </c>
      <c r="D1731" s="4">
        <v>10249.08</v>
      </c>
      <c r="E1731">
        <v>1.92</v>
      </c>
    </row>
    <row r="1732" spans="1:5" x14ac:dyDescent="0.25">
      <c r="A1732" t="s">
        <v>625</v>
      </c>
      <c r="B1732" t="s">
        <v>74</v>
      </c>
      <c r="C1732" s="2">
        <f>HYPERLINK("https://cao.dolgi.msk.ru/account/1050425589/", 1050425589)</f>
        <v>1050425589</v>
      </c>
      <c r="D1732" s="4">
        <v>9476.81</v>
      </c>
      <c r="E1732">
        <v>1.75</v>
      </c>
    </row>
    <row r="1733" spans="1:5" x14ac:dyDescent="0.25">
      <c r="A1733" t="s">
        <v>626</v>
      </c>
      <c r="B1733" t="s">
        <v>15</v>
      </c>
      <c r="C1733" s="2">
        <f>HYPERLINK("https://cao.dolgi.msk.ru/account/1050406126/", 1050406126)</f>
        <v>1050406126</v>
      </c>
      <c r="D1733" s="4">
        <v>18224.27</v>
      </c>
      <c r="E1733">
        <v>2.65</v>
      </c>
    </row>
    <row r="1734" spans="1:5" x14ac:dyDescent="0.25">
      <c r="A1734" t="s">
        <v>626</v>
      </c>
      <c r="B1734" t="s">
        <v>37</v>
      </c>
      <c r="C1734" s="2">
        <f>HYPERLINK("https://cao.dolgi.msk.ru/account/1050406636/", 1050406636)</f>
        <v>1050406636</v>
      </c>
      <c r="D1734" s="4">
        <v>8431.14</v>
      </c>
      <c r="E1734">
        <v>2.31</v>
      </c>
    </row>
    <row r="1735" spans="1:5" x14ac:dyDescent="0.25">
      <c r="A1735" t="s">
        <v>626</v>
      </c>
      <c r="B1735" t="s">
        <v>73</v>
      </c>
      <c r="C1735" s="2">
        <f>HYPERLINK("https://cao.dolgi.msk.ru/account/1050407559/", 1050407559)</f>
        <v>1050407559</v>
      </c>
      <c r="D1735" s="4">
        <v>14856.55</v>
      </c>
      <c r="E1735">
        <v>1.46</v>
      </c>
    </row>
    <row r="1736" spans="1:5" x14ac:dyDescent="0.25">
      <c r="A1736" t="s">
        <v>626</v>
      </c>
      <c r="B1736" t="s">
        <v>83</v>
      </c>
      <c r="C1736" s="2">
        <f>HYPERLINK("https://cao.dolgi.msk.ru/account/1050407786/", 1050407786)</f>
        <v>1050407786</v>
      </c>
      <c r="D1736" s="4">
        <v>7270.97</v>
      </c>
      <c r="E1736">
        <v>1.1599999999999999</v>
      </c>
    </row>
    <row r="1737" spans="1:5" x14ac:dyDescent="0.25">
      <c r="A1737" t="s">
        <v>626</v>
      </c>
      <c r="B1737" t="s">
        <v>115</v>
      </c>
      <c r="C1737" s="2">
        <f>HYPERLINK("https://cao.dolgi.msk.ru/account/1050408439/", 1050408439)</f>
        <v>1050408439</v>
      </c>
      <c r="D1737" s="4">
        <v>8666.85</v>
      </c>
      <c r="E1737">
        <v>1.72</v>
      </c>
    </row>
    <row r="1738" spans="1:5" x14ac:dyDescent="0.25">
      <c r="A1738" t="s">
        <v>626</v>
      </c>
      <c r="B1738" t="s">
        <v>121</v>
      </c>
      <c r="C1738" s="2">
        <f>HYPERLINK("https://cao.dolgi.msk.ru/account/1058026187/", 1058026187)</f>
        <v>1058026187</v>
      </c>
      <c r="D1738" s="4">
        <v>31566.37</v>
      </c>
      <c r="E1738">
        <v>9.1300000000000008</v>
      </c>
    </row>
    <row r="1739" spans="1:5" x14ac:dyDescent="0.25">
      <c r="A1739" t="s">
        <v>626</v>
      </c>
      <c r="B1739" t="s">
        <v>142</v>
      </c>
      <c r="C1739" s="2">
        <f>HYPERLINK("https://cao.dolgi.msk.ru/account/1050409095/", 1050409095)</f>
        <v>1050409095</v>
      </c>
      <c r="D1739" s="4">
        <v>23072.14</v>
      </c>
      <c r="E1739">
        <v>2.95</v>
      </c>
    </row>
    <row r="1740" spans="1:5" x14ac:dyDescent="0.25">
      <c r="A1740" t="s">
        <v>626</v>
      </c>
      <c r="B1740" t="s">
        <v>144</v>
      </c>
      <c r="C1740" s="2">
        <f>HYPERLINK("https://cao.dolgi.msk.ru/account/1050409124/", 1050409124)</f>
        <v>1050409124</v>
      </c>
      <c r="D1740" s="4">
        <v>9450.15</v>
      </c>
      <c r="E1740">
        <v>1.91</v>
      </c>
    </row>
    <row r="1741" spans="1:5" x14ac:dyDescent="0.25">
      <c r="A1741" t="s">
        <v>626</v>
      </c>
      <c r="B1741" t="s">
        <v>164</v>
      </c>
      <c r="C1741" s="2">
        <f>HYPERLINK("https://cao.dolgi.msk.ru/account/1050409693/", 1050409693)</f>
        <v>1050409693</v>
      </c>
      <c r="D1741" s="4">
        <v>7295.62</v>
      </c>
      <c r="E1741">
        <v>1.7</v>
      </c>
    </row>
    <row r="1742" spans="1:5" x14ac:dyDescent="0.25">
      <c r="A1742" t="s">
        <v>626</v>
      </c>
      <c r="B1742" t="s">
        <v>278</v>
      </c>
      <c r="C1742" s="2">
        <f>HYPERLINK("https://cao.dolgi.msk.ru/account/1050410205/", 1050410205)</f>
        <v>1050410205</v>
      </c>
      <c r="D1742" s="4">
        <v>9609.4</v>
      </c>
      <c r="E1742">
        <v>1.99</v>
      </c>
    </row>
    <row r="1743" spans="1:5" x14ac:dyDescent="0.25">
      <c r="A1743" t="s">
        <v>626</v>
      </c>
      <c r="B1743" t="s">
        <v>185</v>
      </c>
      <c r="C1743" s="2">
        <f>HYPERLINK("https://cao.dolgi.msk.ru/account/1050410387/", 1050410387)</f>
        <v>1050410387</v>
      </c>
      <c r="D1743" s="4">
        <v>76219.47</v>
      </c>
      <c r="E1743">
        <v>9.7899999999999991</v>
      </c>
    </row>
    <row r="1744" spans="1:5" x14ac:dyDescent="0.25">
      <c r="A1744" t="s">
        <v>626</v>
      </c>
      <c r="B1744" t="s">
        <v>187</v>
      </c>
      <c r="C1744" s="2">
        <f>HYPERLINK("https://cao.dolgi.msk.ru/account/1050410416/", 1050410416)</f>
        <v>1050410416</v>
      </c>
      <c r="D1744" s="4">
        <v>8101.81</v>
      </c>
      <c r="E1744">
        <v>3.04</v>
      </c>
    </row>
    <row r="1745" spans="1:5" x14ac:dyDescent="0.25">
      <c r="A1745" t="s">
        <v>627</v>
      </c>
      <c r="B1745" t="s">
        <v>12</v>
      </c>
      <c r="C1745" s="2">
        <f>HYPERLINK("https://cao.dolgi.msk.ru/account/1050328578/", 1050328578)</f>
        <v>1050328578</v>
      </c>
      <c r="D1745" s="4">
        <v>7665.79</v>
      </c>
      <c r="E1745">
        <v>1.96</v>
      </c>
    </row>
    <row r="1746" spans="1:5" x14ac:dyDescent="0.25">
      <c r="A1746" t="s">
        <v>627</v>
      </c>
      <c r="B1746" t="s">
        <v>30</v>
      </c>
      <c r="C1746" s="2">
        <f>HYPERLINK("https://cao.dolgi.msk.ru/account/1050328877/", 1050328877)</f>
        <v>1050328877</v>
      </c>
      <c r="D1746" s="4">
        <v>377373.25</v>
      </c>
      <c r="E1746">
        <v>37.75</v>
      </c>
    </row>
    <row r="1747" spans="1:5" x14ac:dyDescent="0.25">
      <c r="A1747" t="s">
        <v>627</v>
      </c>
      <c r="B1747" t="s">
        <v>42</v>
      </c>
      <c r="C1747" s="2">
        <f>HYPERLINK("https://cao.dolgi.msk.ru/account/1050329108/", 1050329108)</f>
        <v>1050329108</v>
      </c>
      <c r="D1747" s="4">
        <v>14315.56</v>
      </c>
      <c r="E1747">
        <v>4.09</v>
      </c>
    </row>
    <row r="1748" spans="1:5" x14ac:dyDescent="0.25">
      <c r="A1748" t="s">
        <v>627</v>
      </c>
      <c r="B1748" t="s">
        <v>94</v>
      </c>
      <c r="C1748" s="2">
        <f>HYPERLINK("https://cao.dolgi.msk.ru/account/1050329191/", 1050329191)</f>
        <v>1050329191</v>
      </c>
      <c r="D1748" s="4">
        <v>9129.66</v>
      </c>
      <c r="E1748">
        <v>1.67</v>
      </c>
    </row>
    <row r="1749" spans="1:5" x14ac:dyDescent="0.25">
      <c r="A1749" t="s">
        <v>627</v>
      </c>
      <c r="B1749" t="s">
        <v>56</v>
      </c>
      <c r="C1749" s="2">
        <f>HYPERLINK("https://cao.dolgi.msk.ru/account/1050329394/", 1050329394)</f>
        <v>1050329394</v>
      </c>
      <c r="D1749" s="4">
        <v>25064.65</v>
      </c>
      <c r="E1749">
        <v>9.08</v>
      </c>
    </row>
    <row r="1750" spans="1:5" x14ac:dyDescent="0.25">
      <c r="A1750" t="s">
        <v>627</v>
      </c>
      <c r="B1750" t="s">
        <v>80</v>
      </c>
      <c r="C1750" s="2">
        <f>HYPERLINK("https://cao.dolgi.msk.ru/account/1050329909/", 1050329909)</f>
        <v>1050329909</v>
      </c>
      <c r="D1750" s="4">
        <v>16863.98</v>
      </c>
      <c r="E1750">
        <v>2.95</v>
      </c>
    </row>
    <row r="1751" spans="1:5" x14ac:dyDescent="0.25">
      <c r="A1751" t="s">
        <v>627</v>
      </c>
      <c r="B1751" t="s">
        <v>103</v>
      </c>
      <c r="C1751" s="2">
        <f>HYPERLINK("https://cao.dolgi.msk.ru/account/1050330256/", 1050330256)</f>
        <v>1050330256</v>
      </c>
      <c r="D1751" s="4">
        <v>37572.519999999997</v>
      </c>
      <c r="E1751">
        <v>7.43</v>
      </c>
    </row>
    <row r="1752" spans="1:5" x14ac:dyDescent="0.25">
      <c r="A1752" t="s">
        <v>627</v>
      </c>
      <c r="B1752" t="s">
        <v>108</v>
      </c>
      <c r="C1752" s="2">
        <f>HYPERLINK("https://cao.dolgi.msk.ru/account/1050330336/", 1050330336)</f>
        <v>1050330336</v>
      </c>
      <c r="D1752" s="4">
        <v>9420.26</v>
      </c>
      <c r="E1752">
        <v>1.86</v>
      </c>
    </row>
    <row r="1753" spans="1:5" x14ac:dyDescent="0.25">
      <c r="A1753" t="s">
        <v>628</v>
      </c>
      <c r="B1753" t="s">
        <v>26</v>
      </c>
      <c r="C1753" s="2">
        <f>HYPERLINK("https://cao.dolgi.msk.ru/account/1058025395/", 1058025395)</f>
        <v>1058025395</v>
      </c>
      <c r="D1753" s="4">
        <v>10315.780000000001</v>
      </c>
      <c r="E1753">
        <v>1.95</v>
      </c>
    </row>
    <row r="1754" spans="1:5" x14ac:dyDescent="0.25">
      <c r="A1754" t="s">
        <v>628</v>
      </c>
      <c r="B1754" t="s">
        <v>38</v>
      </c>
      <c r="C1754" s="2">
        <f>HYPERLINK("https://cao.dolgi.msk.ru/account/1050338602/", 1050338602)</f>
        <v>1050338602</v>
      </c>
      <c r="D1754" s="4">
        <v>7087.22</v>
      </c>
      <c r="E1754">
        <v>1.97</v>
      </c>
    </row>
    <row r="1755" spans="1:5" x14ac:dyDescent="0.25">
      <c r="A1755" t="s">
        <v>628</v>
      </c>
      <c r="B1755" t="s">
        <v>43</v>
      </c>
      <c r="C1755" s="2">
        <f>HYPERLINK("https://cao.dolgi.msk.ru/account/1050338661/", 1050338661)</f>
        <v>1050338661</v>
      </c>
      <c r="D1755" s="4">
        <v>12809.29</v>
      </c>
      <c r="E1755">
        <v>2.63</v>
      </c>
    </row>
    <row r="1756" spans="1:5" x14ac:dyDescent="0.25">
      <c r="A1756" t="s">
        <v>628</v>
      </c>
      <c r="B1756" t="s">
        <v>49</v>
      </c>
      <c r="C1756" s="2">
        <f>HYPERLINK("https://cao.dolgi.msk.ru/account/1050338741/", 1050338741)</f>
        <v>1050338741</v>
      </c>
      <c r="D1756" s="4">
        <v>19256.169999999998</v>
      </c>
      <c r="E1756">
        <v>4.24</v>
      </c>
    </row>
    <row r="1757" spans="1:5" x14ac:dyDescent="0.25">
      <c r="A1757" t="s">
        <v>628</v>
      </c>
      <c r="B1757" t="s">
        <v>58</v>
      </c>
      <c r="C1757" s="2">
        <f>HYPERLINK("https://cao.dolgi.msk.ru/account/1050338856/", 1050338856)</f>
        <v>1050338856</v>
      </c>
      <c r="D1757" s="4">
        <v>12689.02</v>
      </c>
      <c r="E1757">
        <v>1.91</v>
      </c>
    </row>
    <row r="1758" spans="1:5" x14ac:dyDescent="0.25">
      <c r="A1758" t="s">
        <v>629</v>
      </c>
      <c r="B1758" t="s">
        <v>11</v>
      </c>
      <c r="C1758" s="2">
        <f>HYPERLINK("https://cao.dolgi.msk.ru/account/1058004121/", 1058004121)</f>
        <v>1058004121</v>
      </c>
      <c r="D1758" s="4">
        <v>49341.2</v>
      </c>
      <c r="E1758">
        <v>3</v>
      </c>
    </row>
    <row r="1759" spans="1:5" x14ac:dyDescent="0.25">
      <c r="A1759" t="s">
        <v>629</v>
      </c>
      <c r="B1759" t="s">
        <v>36</v>
      </c>
      <c r="C1759" s="2">
        <f>HYPERLINK("https://cao.dolgi.msk.ru/account/1058004439/", 1058004439)</f>
        <v>1058004439</v>
      </c>
      <c r="D1759" s="4">
        <v>49572.04</v>
      </c>
      <c r="E1759">
        <v>1.98</v>
      </c>
    </row>
    <row r="1760" spans="1:5" x14ac:dyDescent="0.25">
      <c r="A1760" t="s">
        <v>629</v>
      </c>
      <c r="B1760" t="s">
        <v>40</v>
      </c>
      <c r="C1760" s="2">
        <f>HYPERLINK("https://cao.dolgi.msk.ru/account/1058004471/", 1058004471)</f>
        <v>1058004471</v>
      </c>
      <c r="D1760" s="4">
        <v>239132.72</v>
      </c>
      <c r="E1760">
        <v>11.51</v>
      </c>
    </row>
    <row r="1761" spans="1:5" x14ac:dyDescent="0.25">
      <c r="A1761" t="s">
        <v>629</v>
      </c>
      <c r="B1761" t="s">
        <v>45</v>
      </c>
      <c r="C1761" s="2">
        <f>HYPERLINK("https://cao.dolgi.msk.ru/account/1058004543/", 1058004543)</f>
        <v>1058004543</v>
      </c>
      <c r="D1761" s="4">
        <v>51032.7</v>
      </c>
      <c r="E1761">
        <v>3</v>
      </c>
    </row>
    <row r="1762" spans="1:5" x14ac:dyDescent="0.25">
      <c r="A1762" t="s">
        <v>630</v>
      </c>
      <c r="B1762" t="s">
        <v>18</v>
      </c>
      <c r="C1762" s="2">
        <f>HYPERLINK("https://cao.dolgi.msk.ru/account/1050735683/", 1050735683)</f>
        <v>1050735683</v>
      </c>
      <c r="D1762" s="4">
        <v>16120.79</v>
      </c>
      <c r="E1762">
        <v>1.99</v>
      </c>
    </row>
    <row r="1763" spans="1:5" x14ac:dyDescent="0.25">
      <c r="A1763" t="s">
        <v>631</v>
      </c>
      <c r="B1763" t="s">
        <v>19</v>
      </c>
      <c r="C1763" s="2">
        <f>HYPERLINK("https://cao.dolgi.msk.ru/account/1050248957/", 1050248957)</f>
        <v>1050248957</v>
      </c>
      <c r="D1763" s="4">
        <v>40680.44</v>
      </c>
      <c r="E1763">
        <v>4.01</v>
      </c>
    </row>
    <row r="1764" spans="1:5" x14ac:dyDescent="0.25">
      <c r="A1764" t="s">
        <v>631</v>
      </c>
      <c r="B1764" t="s">
        <v>20</v>
      </c>
      <c r="C1764" s="2">
        <f>HYPERLINK("https://cao.dolgi.msk.ru/account/1050248965/", 1050248965)</f>
        <v>1050248965</v>
      </c>
      <c r="D1764" s="4">
        <v>9826.34</v>
      </c>
      <c r="E1764">
        <v>1.61</v>
      </c>
    </row>
    <row r="1765" spans="1:5" x14ac:dyDescent="0.25">
      <c r="A1765" t="s">
        <v>631</v>
      </c>
      <c r="B1765" t="s">
        <v>32</v>
      </c>
      <c r="C1765" s="2">
        <f>HYPERLINK("https://cao.dolgi.msk.ru/account/1050249159/", 1050249159)</f>
        <v>1050249159</v>
      </c>
      <c r="D1765" s="4">
        <v>29797</v>
      </c>
      <c r="E1765">
        <v>5.01</v>
      </c>
    </row>
    <row r="1766" spans="1:5" x14ac:dyDescent="0.25">
      <c r="A1766" t="s">
        <v>631</v>
      </c>
      <c r="B1766" t="s">
        <v>42</v>
      </c>
      <c r="C1766" s="2">
        <f>HYPERLINK("https://cao.dolgi.msk.ru/account/1050249271/", 1050249271)</f>
        <v>1050249271</v>
      </c>
      <c r="D1766" s="4">
        <v>6995.03</v>
      </c>
      <c r="E1766">
        <v>1.31</v>
      </c>
    </row>
    <row r="1767" spans="1:5" x14ac:dyDescent="0.25">
      <c r="A1767" t="s">
        <v>631</v>
      </c>
      <c r="B1767" t="s">
        <v>46</v>
      </c>
      <c r="C1767" s="2">
        <f>HYPERLINK("https://cao.dolgi.msk.ru/account/1050249378/", 1050249378)</f>
        <v>1050249378</v>
      </c>
      <c r="D1767" s="4">
        <v>17751.78</v>
      </c>
      <c r="E1767">
        <v>2.72</v>
      </c>
    </row>
    <row r="1768" spans="1:5" x14ac:dyDescent="0.25">
      <c r="A1768" t="s">
        <v>631</v>
      </c>
      <c r="B1768" t="s">
        <v>70</v>
      </c>
      <c r="C1768" s="2">
        <f>HYPERLINK("https://cao.dolgi.msk.ru/account/1050249909/", 1050249909)</f>
        <v>1050249909</v>
      </c>
      <c r="D1768" s="4">
        <v>10059.49</v>
      </c>
      <c r="E1768">
        <v>1.32</v>
      </c>
    </row>
    <row r="1769" spans="1:5" x14ac:dyDescent="0.25">
      <c r="A1769" t="s">
        <v>632</v>
      </c>
      <c r="B1769" t="s">
        <v>9</v>
      </c>
      <c r="C1769" s="2">
        <f>HYPERLINK("https://cao.dolgi.msk.ru/account/1050250686/", 1050250686)</f>
        <v>1050250686</v>
      </c>
      <c r="D1769" s="4">
        <v>11505.47</v>
      </c>
      <c r="E1769">
        <v>1.96</v>
      </c>
    </row>
    <row r="1770" spans="1:5" x14ac:dyDescent="0.25">
      <c r="A1770" t="s">
        <v>632</v>
      </c>
      <c r="B1770" t="s">
        <v>10</v>
      </c>
      <c r="C1770" s="2">
        <f>HYPERLINK("https://cao.dolgi.msk.ru/account/1050250723/", 1050250723)</f>
        <v>1050250723</v>
      </c>
      <c r="D1770" s="4">
        <v>333785.92</v>
      </c>
      <c r="E1770">
        <v>51.82</v>
      </c>
    </row>
    <row r="1771" spans="1:5" x14ac:dyDescent="0.25">
      <c r="A1771" t="s">
        <v>632</v>
      </c>
      <c r="B1771" t="s">
        <v>13</v>
      </c>
      <c r="C1771" s="2">
        <f>HYPERLINK("https://cao.dolgi.msk.ru/account/1050250774/", 1050250774)</f>
        <v>1050250774</v>
      </c>
      <c r="D1771" s="4">
        <v>89682.35</v>
      </c>
      <c r="E1771">
        <v>13.25</v>
      </c>
    </row>
    <row r="1772" spans="1:5" x14ac:dyDescent="0.25">
      <c r="A1772" t="s">
        <v>632</v>
      </c>
      <c r="B1772" t="s">
        <v>93</v>
      </c>
      <c r="C1772" s="2">
        <f>HYPERLINK("https://cao.dolgi.msk.ru/account/1050250926/", 1050250926)</f>
        <v>1050250926</v>
      </c>
      <c r="D1772" s="4">
        <v>113577.15</v>
      </c>
      <c r="E1772">
        <v>13.32</v>
      </c>
    </row>
    <row r="1773" spans="1:5" x14ac:dyDescent="0.25">
      <c r="A1773" t="s">
        <v>632</v>
      </c>
      <c r="B1773" t="s">
        <v>20</v>
      </c>
      <c r="C1773" s="2">
        <f>HYPERLINK("https://cao.dolgi.msk.ru/account/1050250942/", 1050250942)</f>
        <v>1050250942</v>
      </c>
      <c r="D1773" s="4">
        <v>12507.42</v>
      </c>
      <c r="E1773">
        <v>2.27</v>
      </c>
    </row>
    <row r="1774" spans="1:5" x14ac:dyDescent="0.25">
      <c r="A1774" t="s">
        <v>632</v>
      </c>
      <c r="B1774" t="s">
        <v>41</v>
      </c>
      <c r="C1774" s="2">
        <f>HYPERLINK("https://cao.dolgi.msk.ru/account/1050251312/", 1050251312)</f>
        <v>1050251312</v>
      </c>
      <c r="D1774" s="4">
        <v>6906.88</v>
      </c>
      <c r="E1774">
        <v>1.96</v>
      </c>
    </row>
    <row r="1775" spans="1:5" x14ac:dyDescent="0.25">
      <c r="A1775" t="s">
        <v>632</v>
      </c>
      <c r="B1775" t="s">
        <v>42</v>
      </c>
      <c r="C1775" s="2">
        <f>HYPERLINK("https://cao.dolgi.msk.ru/account/1050251355/", 1050251355)</f>
        <v>1050251355</v>
      </c>
      <c r="D1775" s="4">
        <v>23931.86</v>
      </c>
      <c r="E1775">
        <v>2.96</v>
      </c>
    </row>
    <row r="1776" spans="1:5" x14ac:dyDescent="0.25">
      <c r="A1776" t="s">
        <v>632</v>
      </c>
      <c r="B1776" t="s">
        <v>46</v>
      </c>
      <c r="C1776" s="2">
        <f>HYPERLINK("https://cao.dolgi.msk.ru/account/1050251427/", 1050251427)</f>
        <v>1050251427</v>
      </c>
      <c r="D1776" s="4">
        <v>13073.74</v>
      </c>
      <c r="E1776">
        <v>1.97</v>
      </c>
    </row>
    <row r="1777" spans="1:5" x14ac:dyDescent="0.25">
      <c r="A1777" t="s">
        <v>632</v>
      </c>
      <c r="B1777" t="s">
        <v>47</v>
      </c>
      <c r="C1777" s="2">
        <f>HYPERLINK("https://cao.dolgi.msk.ru/account/1050251435/", 1050251435)</f>
        <v>1050251435</v>
      </c>
      <c r="D1777" s="4">
        <v>21353.86</v>
      </c>
      <c r="E1777">
        <v>2.77</v>
      </c>
    </row>
    <row r="1778" spans="1:5" x14ac:dyDescent="0.25">
      <c r="A1778" t="s">
        <v>632</v>
      </c>
      <c r="B1778" t="s">
        <v>52</v>
      </c>
      <c r="C1778" s="2">
        <f>HYPERLINK("https://cao.dolgi.msk.ru/account/1050251523/", 1050251523)</f>
        <v>1050251523</v>
      </c>
      <c r="D1778" s="4">
        <v>10843.3</v>
      </c>
      <c r="E1778">
        <v>1.66</v>
      </c>
    </row>
    <row r="1779" spans="1:5" x14ac:dyDescent="0.25">
      <c r="A1779" t="s">
        <v>632</v>
      </c>
      <c r="B1779" t="s">
        <v>68</v>
      </c>
      <c r="C1779" s="2">
        <f>HYPERLINK("https://cao.dolgi.msk.ru/account/1050252905/", 1050252905)</f>
        <v>1050252905</v>
      </c>
      <c r="D1779" s="4">
        <v>19644.82</v>
      </c>
      <c r="E1779">
        <v>1.99</v>
      </c>
    </row>
    <row r="1780" spans="1:5" x14ac:dyDescent="0.25">
      <c r="A1780" t="s">
        <v>632</v>
      </c>
      <c r="B1780" t="s">
        <v>69</v>
      </c>
      <c r="C1780" s="2">
        <f>HYPERLINK("https://cao.dolgi.msk.ru/account/1050252921/", 1050252921)</f>
        <v>1050252921</v>
      </c>
      <c r="D1780" s="4">
        <v>19845.25</v>
      </c>
      <c r="E1780">
        <v>1.87</v>
      </c>
    </row>
    <row r="1781" spans="1:5" x14ac:dyDescent="0.25">
      <c r="A1781" t="s">
        <v>632</v>
      </c>
      <c r="B1781" t="s">
        <v>70</v>
      </c>
      <c r="C1781" s="2">
        <f>HYPERLINK("https://cao.dolgi.msk.ru/account/1050252948/", 1050252948)</f>
        <v>1050252948</v>
      </c>
      <c r="D1781" s="4">
        <v>16022.07</v>
      </c>
      <c r="E1781">
        <v>1.74</v>
      </c>
    </row>
    <row r="1782" spans="1:5" x14ac:dyDescent="0.25">
      <c r="A1782" t="s">
        <v>632</v>
      </c>
      <c r="B1782" t="s">
        <v>79</v>
      </c>
      <c r="C1782" s="2">
        <f>HYPERLINK("https://cao.dolgi.msk.ru/account/1050253254/", 1050253254)</f>
        <v>1050253254</v>
      </c>
      <c r="D1782" s="4">
        <v>21685.37</v>
      </c>
      <c r="E1782">
        <v>1.96</v>
      </c>
    </row>
    <row r="1783" spans="1:5" x14ac:dyDescent="0.25">
      <c r="A1783" t="s">
        <v>632</v>
      </c>
      <c r="B1783" t="s">
        <v>91</v>
      </c>
      <c r="C1783" s="2">
        <f>HYPERLINK("https://cao.dolgi.msk.ru/account/1050252016/", 1050252016)</f>
        <v>1050252016</v>
      </c>
      <c r="D1783" s="4">
        <v>14199.38</v>
      </c>
      <c r="E1783">
        <v>1.95</v>
      </c>
    </row>
    <row r="1784" spans="1:5" x14ac:dyDescent="0.25">
      <c r="A1784" t="s">
        <v>632</v>
      </c>
      <c r="B1784" t="s">
        <v>98</v>
      </c>
      <c r="C1784" s="2">
        <f>HYPERLINK("https://cao.dolgi.msk.ru/account/1050252091/", 1050252091)</f>
        <v>1050252091</v>
      </c>
      <c r="D1784" s="4">
        <v>24687.43</v>
      </c>
      <c r="E1784">
        <v>3.93</v>
      </c>
    </row>
    <row r="1785" spans="1:5" x14ac:dyDescent="0.25">
      <c r="A1785" t="s">
        <v>632</v>
      </c>
      <c r="B1785" t="s">
        <v>102</v>
      </c>
      <c r="C1785" s="2">
        <f>HYPERLINK("https://cao.dolgi.msk.ru/account/1050252198/", 1050252198)</f>
        <v>1050252198</v>
      </c>
      <c r="D1785" s="4">
        <v>10786.44</v>
      </c>
      <c r="E1785">
        <v>2.0099999999999998</v>
      </c>
    </row>
    <row r="1786" spans="1:5" x14ac:dyDescent="0.25">
      <c r="A1786" t="s">
        <v>632</v>
      </c>
      <c r="B1786" t="s">
        <v>105</v>
      </c>
      <c r="C1786" s="2">
        <f>HYPERLINK("https://cao.dolgi.msk.ru/account/1050252227/", 1050252227)</f>
        <v>1050252227</v>
      </c>
      <c r="D1786" s="4">
        <v>12243.54</v>
      </c>
      <c r="E1786">
        <v>2</v>
      </c>
    </row>
    <row r="1787" spans="1:5" x14ac:dyDescent="0.25">
      <c r="A1787" t="s">
        <v>632</v>
      </c>
      <c r="B1787" t="s">
        <v>106</v>
      </c>
      <c r="C1787" s="2">
        <f>HYPERLINK("https://cao.dolgi.msk.ru/account/1050252083/", 1050252083)</f>
        <v>1050252083</v>
      </c>
      <c r="D1787" s="4">
        <v>12104.04</v>
      </c>
      <c r="E1787">
        <v>2.31</v>
      </c>
    </row>
    <row r="1788" spans="1:5" x14ac:dyDescent="0.25">
      <c r="A1788" t="s">
        <v>632</v>
      </c>
      <c r="B1788" t="s">
        <v>633</v>
      </c>
      <c r="C1788" s="2">
        <f>HYPERLINK("https://cao.dolgi.msk.ru/account/1050252307/", 1050252307)</f>
        <v>1050252307</v>
      </c>
      <c r="D1788" s="4">
        <v>11043.88</v>
      </c>
      <c r="E1788">
        <v>2</v>
      </c>
    </row>
    <row r="1789" spans="1:5" x14ac:dyDescent="0.25">
      <c r="A1789" t="s">
        <v>632</v>
      </c>
      <c r="B1789" t="s">
        <v>127</v>
      </c>
      <c r="C1789" s="2">
        <f>HYPERLINK("https://cao.dolgi.msk.ru/account/1058152132/", 1058152132)</f>
        <v>1058152132</v>
      </c>
      <c r="D1789" s="4">
        <v>14535.07</v>
      </c>
      <c r="E1789">
        <v>2.85</v>
      </c>
    </row>
    <row r="1790" spans="1:5" x14ac:dyDescent="0.25">
      <c r="A1790" t="s">
        <v>634</v>
      </c>
      <c r="B1790" t="s">
        <v>190</v>
      </c>
      <c r="C1790" s="2">
        <f>HYPERLINK("https://cao.dolgi.msk.ru/account/1050276608/", 1050276608)</f>
        <v>1050276608</v>
      </c>
      <c r="D1790" s="4">
        <v>26260.03</v>
      </c>
      <c r="E1790">
        <v>2.96</v>
      </c>
    </row>
    <row r="1791" spans="1:5" x14ac:dyDescent="0.25">
      <c r="A1791" t="s">
        <v>634</v>
      </c>
      <c r="B1791" t="s">
        <v>192</v>
      </c>
      <c r="C1791" s="2">
        <f>HYPERLINK("https://cao.dolgi.msk.ru/account/1050276704/", 1050276704)</f>
        <v>1050276704</v>
      </c>
      <c r="D1791" s="4">
        <v>39025.99</v>
      </c>
      <c r="E1791">
        <v>1.99</v>
      </c>
    </row>
    <row r="1792" spans="1:5" x14ac:dyDescent="0.25">
      <c r="A1792" t="s">
        <v>635</v>
      </c>
      <c r="B1792" t="s">
        <v>24</v>
      </c>
      <c r="C1792" s="2">
        <f>HYPERLINK("https://cao.dolgi.msk.ru/account/1050531664/", 1050531664)</f>
        <v>1050531664</v>
      </c>
      <c r="D1792" s="4">
        <v>25766.28</v>
      </c>
      <c r="E1792">
        <v>2.93</v>
      </c>
    </row>
    <row r="1793" spans="1:5" x14ac:dyDescent="0.25">
      <c r="A1793" t="s">
        <v>635</v>
      </c>
      <c r="B1793" t="s">
        <v>32</v>
      </c>
      <c r="C1793" s="2">
        <f>HYPERLINK("https://cao.dolgi.msk.ru/account/1050532042/", 1050532042)</f>
        <v>1050532042</v>
      </c>
      <c r="D1793" s="4">
        <v>28683.39</v>
      </c>
      <c r="E1793">
        <v>2.02</v>
      </c>
    </row>
    <row r="1794" spans="1:5" x14ac:dyDescent="0.25">
      <c r="A1794" t="s">
        <v>635</v>
      </c>
      <c r="B1794" t="s">
        <v>35</v>
      </c>
      <c r="C1794" s="2">
        <f>HYPERLINK("https://cao.dolgi.msk.ru/account/1050532296/", 1050532296)</f>
        <v>1050532296</v>
      </c>
      <c r="D1794" s="4">
        <v>10583.76</v>
      </c>
      <c r="E1794">
        <v>1.2</v>
      </c>
    </row>
    <row r="1795" spans="1:5" x14ac:dyDescent="0.25">
      <c r="A1795" t="s">
        <v>635</v>
      </c>
      <c r="B1795" t="s">
        <v>39</v>
      </c>
      <c r="C1795" s="2">
        <f>HYPERLINK("https://cao.dolgi.msk.ru/account/1050532579/", 1050532579)</f>
        <v>1050532579</v>
      </c>
      <c r="D1795" s="4">
        <v>24837.84</v>
      </c>
      <c r="E1795">
        <v>2</v>
      </c>
    </row>
    <row r="1796" spans="1:5" x14ac:dyDescent="0.25">
      <c r="A1796" t="s">
        <v>636</v>
      </c>
      <c r="B1796" t="s">
        <v>9</v>
      </c>
      <c r="C1796" s="2">
        <f>HYPERLINK("https://cao.dolgi.msk.ru/account/1050258231/", 1050258231)</f>
        <v>1050258231</v>
      </c>
      <c r="D1796" s="4">
        <v>23002.720000000001</v>
      </c>
      <c r="E1796">
        <v>2.94</v>
      </c>
    </row>
    <row r="1797" spans="1:5" x14ac:dyDescent="0.25">
      <c r="A1797" t="s">
        <v>636</v>
      </c>
      <c r="B1797" t="s">
        <v>42</v>
      </c>
      <c r="C1797" s="2">
        <f>HYPERLINK("https://cao.dolgi.msk.ru/account/1050258741/", 1050258741)</f>
        <v>1050258741</v>
      </c>
      <c r="D1797" s="4">
        <v>262346.5</v>
      </c>
      <c r="E1797">
        <v>42.27</v>
      </c>
    </row>
    <row r="1798" spans="1:5" x14ac:dyDescent="0.25">
      <c r="A1798" t="s">
        <v>636</v>
      </c>
      <c r="B1798" t="s">
        <v>65</v>
      </c>
      <c r="C1798" s="2">
        <f>HYPERLINK("https://cao.dolgi.msk.ru/account/1050259103/", 1050259103)</f>
        <v>1050259103</v>
      </c>
      <c r="D1798" s="4">
        <v>6454.11</v>
      </c>
      <c r="E1798">
        <v>1.19</v>
      </c>
    </row>
    <row r="1799" spans="1:5" x14ac:dyDescent="0.25">
      <c r="A1799" t="s">
        <v>636</v>
      </c>
      <c r="B1799" t="s">
        <v>75</v>
      </c>
      <c r="C1799" s="2">
        <f>HYPERLINK("https://cao.dolgi.msk.ru/account/1050259242/", 1050259242)</f>
        <v>1050259242</v>
      </c>
      <c r="D1799" s="4">
        <v>141008.51999999999</v>
      </c>
      <c r="E1799">
        <v>19.45</v>
      </c>
    </row>
    <row r="1800" spans="1:5" x14ac:dyDescent="0.25">
      <c r="A1800" t="s">
        <v>636</v>
      </c>
      <c r="B1800" t="s">
        <v>79</v>
      </c>
      <c r="C1800" s="2">
        <f>HYPERLINK("https://cao.dolgi.msk.ru/account/1058020797/", 1058020797)</f>
        <v>1058020797</v>
      </c>
      <c r="D1800" s="4">
        <v>17229.490000000002</v>
      </c>
      <c r="E1800">
        <v>2.2400000000000002</v>
      </c>
    </row>
    <row r="1801" spans="1:5" x14ac:dyDescent="0.25">
      <c r="A1801" t="s">
        <v>637</v>
      </c>
      <c r="B1801" t="s">
        <v>13</v>
      </c>
      <c r="C1801" s="2">
        <f>HYPERLINK("https://cao.dolgi.msk.ru/account/1050553986/", 1050553986)</f>
        <v>1050553986</v>
      </c>
      <c r="D1801" s="4">
        <v>11529.78</v>
      </c>
      <c r="E1801">
        <v>1.87</v>
      </c>
    </row>
    <row r="1802" spans="1:5" x14ac:dyDescent="0.25">
      <c r="A1802" t="s">
        <v>637</v>
      </c>
      <c r="B1802" t="s">
        <v>15</v>
      </c>
      <c r="C1802" s="2">
        <f>HYPERLINK("https://cao.dolgi.msk.ru/account/1050554022/", 1050554022)</f>
        <v>1050554022</v>
      </c>
      <c r="D1802" s="4">
        <v>23033.79</v>
      </c>
      <c r="E1802">
        <v>3.96</v>
      </c>
    </row>
    <row r="1803" spans="1:5" x14ac:dyDescent="0.25">
      <c r="A1803" t="s">
        <v>637</v>
      </c>
      <c r="B1803" t="s">
        <v>23</v>
      </c>
      <c r="C1803" s="2">
        <f>HYPERLINK("https://cao.dolgi.msk.ru/account/1050554313/", 1050554313)</f>
        <v>1050554313</v>
      </c>
      <c r="D1803" s="4">
        <v>29429.77</v>
      </c>
      <c r="E1803">
        <v>1.94</v>
      </c>
    </row>
    <row r="1804" spans="1:5" x14ac:dyDescent="0.25">
      <c r="A1804" t="s">
        <v>637</v>
      </c>
      <c r="B1804" t="s">
        <v>30</v>
      </c>
      <c r="C1804" s="2">
        <f>HYPERLINK("https://cao.dolgi.msk.ru/account/1050554866/", 1050554866)</f>
        <v>1050554866</v>
      </c>
      <c r="D1804" s="4">
        <v>14419.99</v>
      </c>
      <c r="E1804">
        <v>1.9</v>
      </c>
    </row>
    <row r="1805" spans="1:5" x14ac:dyDescent="0.25">
      <c r="A1805" t="s">
        <v>637</v>
      </c>
      <c r="B1805" t="s">
        <v>35</v>
      </c>
      <c r="C1805" s="2">
        <f>HYPERLINK("https://cao.dolgi.msk.ru/account/1050554989/", 1050554989)</f>
        <v>1050554989</v>
      </c>
      <c r="D1805" s="4">
        <v>12975.51</v>
      </c>
      <c r="E1805">
        <v>1.86</v>
      </c>
    </row>
    <row r="1806" spans="1:5" x14ac:dyDescent="0.25">
      <c r="A1806" t="s">
        <v>637</v>
      </c>
      <c r="B1806" t="s">
        <v>36</v>
      </c>
      <c r="C1806" s="2">
        <f>HYPERLINK("https://cao.dolgi.msk.ru/account/1050555009/", 1050555009)</f>
        <v>1050555009</v>
      </c>
      <c r="D1806" s="4">
        <v>66755.06</v>
      </c>
      <c r="E1806">
        <v>18.22</v>
      </c>
    </row>
    <row r="1807" spans="1:5" x14ac:dyDescent="0.25">
      <c r="A1807" t="s">
        <v>637</v>
      </c>
      <c r="B1807" t="s">
        <v>39</v>
      </c>
      <c r="C1807" s="2">
        <f>HYPERLINK("https://cao.dolgi.msk.ru/account/1050555041/", 1050555041)</f>
        <v>1050555041</v>
      </c>
      <c r="D1807" s="4">
        <v>132723.79</v>
      </c>
      <c r="E1807">
        <v>21.04</v>
      </c>
    </row>
    <row r="1808" spans="1:5" x14ac:dyDescent="0.25">
      <c r="A1808" t="s">
        <v>637</v>
      </c>
      <c r="B1808" t="s">
        <v>62</v>
      </c>
      <c r="C1808" s="2">
        <f>HYPERLINK("https://cao.dolgi.msk.ru/account/1050555762/", 1050555762)</f>
        <v>1050555762</v>
      </c>
      <c r="D1808" s="4">
        <v>31199.73</v>
      </c>
      <c r="E1808">
        <v>3.83</v>
      </c>
    </row>
    <row r="1809" spans="1:5" x14ac:dyDescent="0.25">
      <c r="A1809" t="s">
        <v>638</v>
      </c>
      <c r="B1809" t="s">
        <v>17</v>
      </c>
      <c r="C1809" s="2">
        <f>HYPERLINK("https://cao.dolgi.msk.ru/account/1050557223/", 1050557223)</f>
        <v>1050557223</v>
      </c>
      <c r="D1809" s="4">
        <v>9780</v>
      </c>
      <c r="E1809">
        <v>1.06</v>
      </c>
    </row>
    <row r="1810" spans="1:5" x14ac:dyDescent="0.25">
      <c r="A1810" t="s">
        <v>638</v>
      </c>
      <c r="B1810" t="s">
        <v>23</v>
      </c>
      <c r="C1810" s="2">
        <f>HYPERLINK("https://cao.dolgi.msk.ru/account/1050557573/", 1050557573)</f>
        <v>1050557573</v>
      </c>
      <c r="D1810" s="4">
        <v>11406.08</v>
      </c>
      <c r="E1810">
        <v>1.39</v>
      </c>
    </row>
    <row r="1811" spans="1:5" x14ac:dyDescent="0.25">
      <c r="A1811" t="s">
        <v>638</v>
      </c>
      <c r="B1811" t="s">
        <v>36</v>
      </c>
      <c r="C1811" s="2">
        <f>HYPERLINK("https://cao.dolgi.msk.ru/account/1050558023/", 1050558023)</f>
        <v>1050558023</v>
      </c>
      <c r="D1811" s="4">
        <v>14564.41</v>
      </c>
      <c r="E1811">
        <v>2.0699999999999998</v>
      </c>
    </row>
    <row r="1812" spans="1:5" x14ac:dyDescent="0.25">
      <c r="A1812" t="s">
        <v>638</v>
      </c>
      <c r="B1812" t="s">
        <v>51</v>
      </c>
      <c r="C1812" s="2">
        <f>HYPERLINK("https://cao.dolgi.msk.ru/account/1050558971/", 1050558971)</f>
        <v>1050558971</v>
      </c>
      <c r="D1812" s="4">
        <v>70853.52</v>
      </c>
      <c r="E1812">
        <v>12.8</v>
      </c>
    </row>
    <row r="1813" spans="1:5" x14ac:dyDescent="0.25">
      <c r="A1813" t="s">
        <v>638</v>
      </c>
      <c r="B1813" t="s">
        <v>71</v>
      </c>
      <c r="C1813" s="2">
        <f>HYPERLINK("https://cao.dolgi.msk.ru/account/1050559843/", 1050559843)</f>
        <v>1050559843</v>
      </c>
      <c r="D1813" s="4">
        <v>20818.87</v>
      </c>
      <c r="E1813">
        <v>1.01</v>
      </c>
    </row>
    <row r="1814" spans="1:5" x14ac:dyDescent="0.25">
      <c r="A1814" t="s">
        <v>638</v>
      </c>
      <c r="B1814" t="s">
        <v>77</v>
      </c>
      <c r="C1814" s="2">
        <f>HYPERLINK("https://cao.dolgi.msk.ru/account/1050560422/", 1050560422)</f>
        <v>1050560422</v>
      </c>
      <c r="D1814" s="4">
        <v>28390.58</v>
      </c>
      <c r="E1814">
        <v>2</v>
      </c>
    </row>
    <row r="1815" spans="1:5" x14ac:dyDescent="0.25">
      <c r="A1815" t="s">
        <v>639</v>
      </c>
      <c r="B1815" t="s">
        <v>6</v>
      </c>
      <c r="C1815" s="2">
        <f>HYPERLINK("https://cao.dolgi.msk.ru/account/1050256973/", 1050256973)</f>
        <v>1050256973</v>
      </c>
      <c r="D1815" s="4">
        <v>49172.37</v>
      </c>
      <c r="E1815">
        <v>3.89</v>
      </c>
    </row>
    <row r="1816" spans="1:5" x14ac:dyDescent="0.25">
      <c r="A1816" t="s">
        <v>639</v>
      </c>
      <c r="B1816" t="s">
        <v>26</v>
      </c>
      <c r="C1816" s="2">
        <f>HYPERLINK("https://cao.dolgi.msk.ru/account/1050257503/", 1050257503)</f>
        <v>1050257503</v>
      </c>
      <c r="D1816" s="4">
        <v>13646.23</v>
      </c>
      <c r="E1816">
        <v>3</v>
      </c>
    </row>
    <row r="1817" spans="1:5" x14ac:dyDescent="0.25">
      <c r="A1817" t="s">
        <v>640</v>
      </c>
      <c r="B1817" t="s">
        <v>28</v>
      </c>
      <c r="C1817" s="2">
        <f>HYPERLINK("https://cao.dolgi.msk.ru/account/1050253916/", 1050253916)</f>
        <v>1050253916</v>
      </c>
      <c r="D1817" s="4">
        <v>8083.91</v>
      </c>
      <c r="E1817">
        <v>1.34</v>
      </c>
    </row>
    <row r="1818" spans="1:5" x14ac:dyDescent="0.25">
      <c r="A1818" t="s">
        <v>640</v>
      </c>
      <c r="B1818" t="s">
        <v>45</v>
      </c>
      <c r="C1818" s="2">
        <f>HYPERLINK("https://cao.dolgi.msk.ru/account/1056022764/", 1056022764)</f>
        <v>1056022764</v>
      </c>
      <c r="D1818" s="4">
        <v>7122.53</v>
      </c>
      <c r="E1818">
        <v>1.01</v>
      </c>
    </row>
    <row r="1819" spans="1:5" x14ac:dyDescent="0.25">
      <c r="A1819" t="s">
        <v>640</v>
      </c>
      <c r="B1819" t="s">
        <v>46</v>
      </c>
      <c r="C1819" s="2">
        <f>HYPERLINK("https://cao.dolgi.msk.ru/account/1050254417/", 1050254417)</f>
        <v>1050254417</v>
      </c>
      <c r="D1819" s="4">
        <v>16159.49</v>
      </c>
      <c r="E1819">
        <v>2.96</v>
      </c>
    </row>
    <row r="1820" spans="1:5" x14ac:dyDescent="0.25">
      <c r="A1820" t="s">
        <v>640</v>
      </c>
      <c r="B1820" t="s">
        <v>78</v>
      </c>
      <c r="C1820" s="2">
        <f>HYPERLINK("https://cao.dolgi.msk.ru/account/1050254855/", 1050254855)</f>
        <v>1050254855</v>
      </c>
      <c r="D1820" s="4">
        <v>64797.440000000002</v>
      </c>
      <c r="E1820">
        <v>3.99</v>
      </c>
    </row>
    <row r="1821" spans="1:5" x14ac:dyDescent="0.25">
      <c r="A1821" t="s">
        <v>640</v>
      </c>
      <c r="B1821" t="s">
        <v>80</v>
      </c>
      <c r="C1821" s="2">
        <f>HYPERLINK("https://cao.dolgi.msk.ru/account/1050254871/", 1050254871)</f>
        <v>1050254871</v>
      </c>
      <c r="D1821" s="4">
        <v>49101.78</v>
      </c>
      <c r="E1821">
        <v>4</v>
      </c>
    </row>
    <row r="1822" spans="1:5" x14ac:dyDescent="0.25">
      <c r="A1822" t="s">
        <v>640</v>
      </c>
      <c r="B1822" t="s">
        <v>82</v>
      </c>
      <c r="C1822" s="2">
        <f>HYPERLINK("https://cao.dolgi.msk.ru/account/1050254919/", 1050254919)</f>
        <v>1050254919</v>
      </c>
      <c r="D1822" s="4">
        <v>18537.53</v>
      </c>
      <c r="E1822">
        <v>1.98</v>
      </c>
    </row>
    <row r="1823" spans="1:5" x14ac:dyDescent="0.25">
      <c r="A1823" t="s">
        <v>640</v>
      </c>
      <c r="B1823" t="s">
        <v>86</v>
      </c>
      <c r="C1823" s="2">
        <f>HYPERLINK("https://cao.dolgi.msk.ru/account/1050254951/", 1050254951)</f>
        <v>1050254951</v>
      </c>
      <c r="D1823" s="4">
        <v>10956.59</v>
      </c>
      <c r="E1823">
        <v>1.43</v>
      </c>
    </row>
    <row r="1824" spans="1:5" x14ac:dyDescent="0.25">
      <c r="A1824" t="s">
        <v>640</v>
      </c>
      <c r="B1824" t="s">
        <v>88</v>
      </c>
      <c r="C1824" s="2">
        <f>HYPERLINK("https://cao.dolgi.msk.ru/account/1050254986/", 1050254986)</f>
        <v>1050254986</v>
      </c>
      <c r="D1824" s="4">
        <v>13899.6</v>
      </c>
      <c r="E1824">
        <v>1.29</v>
      </c>
    </row>
    <row r="1825" spans="1:5" x14ac:dyDescent="0.25">
      <c r="A1825" t="s">
        <v>641</v>
      </c>
      <c r="B1825" t="s">
        <v>71</v>
      </c>
      <c r="C1825" s="2">
        <f>HYPERLINK("https://cao.dolgi.msk.ru/account/1058139034/", 1058139034)</f>
        <v>1058139034</v>
      </c>
      <c r="D1825" s="4">
        <v>19902.669999999998</v>
      </c>
      <c r="E1825">
        <v>4.2699999999999996</v>
      </c>
    </row>
    <row r="1826" spans="1:5" x14ac:dyDescent="0.25">
      <c r="A1826" t="s">
        <v>642</v>
      </c>
      <c r="B1826" t="s">
        <v>10</v>
      </c>
      <c r="C1826" s="2">
        <f>HYPERLINK("https://cao.dolgi.msk.ru/account/1050248949/", 1050248949)</f>
        <v>1050248949</v>
      </c>
      <c r="D1826" s="4">
        <v>88092.34</v>
      </c>
      <c r="E1826">
        <v>3.93</v>
      </c>
    </row>
    <row r="1827" spans="1:5" x14ac:dyDescent="0.25">
      <c r="A1827" t="s">
        <v>642</v>
      </c>
      <c r="B1827" t="s">
        <v>12</v>
      </c>
      <c r="C1827" s="2">
        <f>HYPERLINK("https://cao.dolgi.msk.ru/account/1050249036/", 1050249036)</f>
        <v>1050249036</v>
      </c>
      <c r="D1827" s="4">
        <v>52091.57</v>
      </c>
      <c r="E1827">
        <v>3.92</v>
      </c>
    </row>
    <row r="1828" spans="1:5" x14ac:dyDescent="0.25">
      <c r="A1828" t="s">
        <v>642</v>
      </c>
      <c r="B1828" t="s">
        <v>585</v>
      </c>
      <c r="C1828" s="2">
        <f>HYPERLINK("https://cao.dolgi.msk.ru/account/1050252999/", 1050252999)</f>
        <v>1050252999</v>
      </c>
      <c r="D1828" s="4">
        <v>451306.32</v>
      </c>
      <c r="E1828">
        <v>35.380000000000003</v>
      </c>
    </row>
    <row r="1829" spans="1:5" x14ac:dyDescent="0.25">
      <c r="A1829" t="s">
        <v>642</v>
      </c>
      <c r="B1829" t="s">
        <v>643</v>
      </c>
      <c r="C1829" s="2">
        <f>HYPERLINK("https://cao.dolgi.msk.ru/account/1050253051/", 1050253051)</f>
        <v>1050253051</v>
      </c>
      <c r="D1829" s="4">
        <v>5885.88</v>
      </c>
      <c r="E1829">
        <v>1.01</v>
      </c>
    </row>
    <row r="1830" spans="1:5" x14ac:dyDescent="0.25">
      <c r="A1830" t="s">
        <v>642</v>
      </c>
      <c r="B1830" t="s">
        <v>590</v>
      </c>
      <c r="C1830" s="2">
        <f>HYPERLINK("https://cao.dolgi.msk.ru/account/1050253086/", 1050253086)</f>
        <v>1050253086</v>
      </c>
      <c r="D1830" s="4">
        <v>50986.33</v>
      </c>
      <c r="E1830">
        <v>4.92</v>
      </c>
    </row>
    <row r="1831" spans="1:5" x14ac:dyDescent="0.25">
      <c r="A1831" t="s">
        <v>642</v>
      </c>
      <c r="B1831" t="s">
        <v>25</v>
      </c>
      <c r="C1831" s="2">
        <f>HYPERLINK("https://cao.dolgi.msk.ru/account/1050253203/", 1050253203)</f>
        <v>1050253203</v>
      </c>
      <c r="D1831" s="4">
        <v>23352.720000000001</v>
      </c>
      <c r="E1831">
        <v>2.82</v>
      </c>
    </row>
    <row r="1832" spans="1:5" x14ac:dyDescent="0.25">
      <c r="A1832" t="s">
        <v>644</v>
      </c>
      <c r="B1832" t="s">
        <v>93</v>
      </c>
      <c r="C1832" s="2">
        <f>HYPERLINK("https://cao.dolgi.msk.ru/account/1050249247/", 1050249247)</f>
        <v>1050249247</v>
      </c>
      <c r="D1832" s="4">
        <v>17442.900000000001</v>
      </c>
      <c r="E1832">
        <v>2.48</v>
      </c>
    </row>
    <row r="1833" spans="1:5" x14ac:dyDescent="0.25">
      <c r="A1833" t="s">
        <v>644</v>
      </c>
      <c r="B1833" t="s">
        <v>30</v>
      </c>
      <c r="C1833" s="2">
        <f>HYPERLINK("https://cao.dolgi.msk.ru/account/1050249634/", 1050249634)</f>
        <v>1050249634</v>
      </c>
      <c r="D1833" s="4">
        <v>23746.59</v>
      </c>
      <c r="E1833">
        <v>2.99</v>
      </c>
    </row>
    <row r="1834" spans="1:5" x14ac:dyDescent="0.25">
      <c r="A1834" t="s">
        <v>644</v>
      </c>
      <c r="B1834" t="s">
        <v>32</v>
      </c>
      <c r="C1834" s="2">
        <f>HYPERLINK("https://cao.dolgi.msk.ru/account/1050249677/", 1050249677)</f>
        <v>1050249677</v>
      </c>
      <c r="D1834" s="4">
        <v>12653.17</v>
      </c>
      <c r="E1834">
        <v>1.38</v>
      </c>
    </row>
    <row r="1835" spans="1:5" x14ac:dyDescent="0.25">
      <c r="A1835" t="s">
        <v>645</v>
      </c>
      <c r="B1835" t="s">
        <v>54</v>
      </c>
      <c r="C1835" s="2">
        <f>HYPERLINK("https://cao.dolgi.msk.ru/account/1050250475/", 1050250475)</f>
        <v>1050250475</v>
      </c>
      <c r="D1835" s="4">
        <v>11513.13</v>
      </c>
      <c r="E1835">
        <v>2</v>
      </c>
    </row>
    <row r="1836" spans="1:5" x14ac:dyDescent="0.25">
      <c r="A1836" t="s">
        <v>645</v>
      </c>
      <c r="B1836" t="s">
        <v>79</v>
      </c>
      <c r="C1836" s="2">
        <f>HYPERLINK("https://cao.dolgi.msk.ru/account/1058166825/", 1058166825)</f>
        <v>1058166825</v>
      </c>
      <c r="D1836" s="4">
        <v>12758.71</v>
      </c>
      <c r="E1836">
        <v>2.2400000000000002</v>
      </c>
    </row>
    <row r="1837" spans="1:5" x14ac:dyDescent="0.25">
      <c r="A1837" t="s">
        <v>645</v>
      </c>
      <c r="B1837" t="s">
        <v>87</v>
      </c>
      <c r="C1837" s="2">
        <f>HYPERLINK("https://cao.dolgi.msk.ru/account/1050251734/", 1050251734)</f>
        <v>1050251734</v>
      </c>
      <c r="D1837" s="4">
        <v>19041.72</v>
      </c>
      <c r="E1837">
        <v>1.75</v>
      </c>
    </row>
    <row r="1838" spans="1:5" x14ac:dyDescent="0.25">
      <c r="A1838" t="s">
        <v>646</v>
      </c>
      <c r="B1838" t="s">
        <v>106</v>
      </c>
      <c r="C1838" s="2">
        <f>HYPERLINK("https://cao.dolgi.msk.ru/account/1058135658/", 1058135658)</f>
        <v>1058135658</v>
      </c>
      <c r="D1838" s="4">
        <v>35269.4</v>
      </c>
      <c r="E1838">
        <v>2.5099999999999998</v>
      </c>
    </row>
    <row r="1839" spans="1:5" x14ac:dyDescent="0.25">
      <c r="A1839" t="s">
        <v>647</v>
      </c>
      <c r="B1839" t="s">
        <v>10</v>
      </c>
      <c r="C1839" s="2">
        <f>HYPERLINK("https://cao.dolgi.msk.ru/account/1050570567/", 1050570567)</f>
        <v>1050570567</v>
      </c>
      <c r="D1839" s="4">
        <v>43062.37</v>
      </c>
      <c r="E1839">
        <v>2.2400000000000002</v>
      </c>
    </row>
    <row r="1840" spans="1:5" x14ac:dyDescent="0.25">
      <c r="A1840" t="s">
        <v>647</v>
      </c>
      <c r="B1840" t="s">
        <v>13</v>
      </c>
      <c r="C1840" s="2">
        <f>HYPERLINK("https://cao.dolgi.msk.ru/account/1050570794/", 1050570794)</f>
        <v>1050570794</v>
      </c>
      <c r="D1840" s="4">
        <v>39448.49</v>
      </c>
      <c r="E1840">
        <v>2.11</v>
      </c>
    </row>
    <row r="1841" spans="1:5" x14ac:dyDescent="0.25">
      <c r="A1841" t="s">
        <v>647</v>
      </c>
      <c r="B1841" t="s">
        <v>585</v>
      </c>
      <c r="C1841" s="2">
        <f>HYPERLINK("https://cao.dolgi.msk.ru/account/1050570903/", 1050570903)</f>
        <v>1050570903</v>
      </c>
      <c r="D1841" s="4">
        <v>120699.62</v>
      </c>
      <c r="E1841">
        <v>14.25</v>
      </c>
    </row>
    <row r="1842" spans="1:5" x14ac:dyDescent="0.25">
      <c r="A1842" t="s">
        <v>647</v>
      </c>
      <c r="B1842" t="s">
        <v>648</v>
      </c>
      <c r="C1842" s="2">
        <f>HYPERLINK("https://cao.dolgi.msk.ru/account/1058023939/", 1058023939)</f>
        <v>1058023939</v>
      </c>
      <c r="D1842" s="4">
        <v>18038.12</v>
      </c>
      <c r="E1842">
        <v>3</v>
      </c>
    </row>
    <row r="1843" spans="1:5" x14ac:dyDescent="0.25">
      <c r="A1843" t="s">
        <v>647</v>
      </c>
      <c r="B1843" t="s">
        <v>40</v>
      </c>
      <c r="C1843" s="2">
        <f>HYPERLINK("https://cao.dolgi.msk.ru/account/1050571965/", 1050571965)</f>
        <v>1050571965</v>
      </c>
      <c r="D1843" s="4">
        <v>10105.86</v>
      </c>
      <c r="E1843">
        <v>1.02</v>
      </c>
    </row>
    <row r="1844" spans="1:5" x14ac:dyDescent="0.25">
      <c r="A1844" t="s">
        <v>647</v>
      </c>
      <c r="B1844" t="s">
        <v>591</v>
      </c>
      <c r="C1844" s="2">
        <f>HYPERLINK("https://cao.dolgi.msk.ru/account/1050572204/", 1050572204)</f>
        <v>1050572204</v>
      </c>
      <c r="D1844" s="4">
        <v>25021.87</v>
      </c>
      <c r="E1844">
        <v>2.77</v>
      </c>
    </row>
    <row r="1845" spans="1:5" x14ac:dyDescent="0.25">
      <c r="A1845" t="s">
        <v>647</v>
      </c>
      <c r="B1845" t="s">
        <v>51</v>
      </c>
      <c r="C1845" s="2">
        <f>HYPERLINK("https://cao.dolgi.msk.ru/account/1050572693/", 1050572693)</f>
        <v>1050572693</v>
      </c>
      <c r="D1845" s="4">
        <v>16515.55</v>
      </c>
      <c r="E1845">
        <v>1.87</v>
      </c>
    </row>
    <row r="1846" spans="1:5" x14ac:dyDescent="0.25">
      <c r="A1846" t="s">
        <v>647</v>
      </c>
      <c r="B1846" t="s">
        <v>59</v>
      </c>
      <c r="C1846" s="2">
        <f>HYPERLINK("https://cao.dolgi.msk.ru/account/1050573012/", 1050573012)</f>
        <v>1050573012</v>
      </c>
      <c r="D1846" s="4">
        <v>40228.879999999997</v>
      </c>
      <c r="E1846">
        <v>2</v>
      </c>
    </row>
    <row r="1847" spans="1:5" x14ac:dyDescent="0.25">
      <c r="A1847" t="s">
        <v>647</v>
      </c>
      <c r="B1847" t="s">
        <v>60</v>
      </c>
      <c r="C1847" s="2">
        <f>HYPERLINK("https://cao.dolgi.msk.ru/account/1050573047/", 1050573047)</f>
        <v>1050573047</v>
      </c>
      <c r="D1847" s="4">
        <v>59508.75</v>
      </c>
      <c r="E1847">
        <v>6.78</v>
      </c>
    </row>
    <row r="1848" spans="1:5" x14ac:dyDescent="0.25">
      <c r="A1848" t="s">
        <v>647</v>
      </c>
      <c r="B1848" t="s">
        <v>61</v>
      </c>
      <c r="C1848" s="2">
        <f>HYPERLINK("https://cao.dolgi.msk.ru/account/1050573098/", 1050573098)</f>
        <v>1050573098</v>
      </c>
      <c r="D1848" s="4">
        <v>13427.35</v>
      </c>
      <c r="E1848">
        <v>1.66</v>
      </c>
    </row>
    <row r="1849" spans="1:5" x14ac:dyDescent="0.25">
      <c r="A1849" t="s">
        <v>649</v>
      </c>
      <c r="B1849" t="s">
        <v>650</v>
      </c>
      <c r="C1849" s="2">
        <f>HYPERLINK("https://cao.dolgi.msk.ru/account/1058025766/", 1058025766)</f>
        <v>1058025766</v>
      </c>
      <c r="D1849" s="4">
        <v>16835.48</v>
      </c>
      <c r="E1849">
        <v>1.1200000000000001</v>
      </c>
    </row>
    <row r="1850" spans="1:5" x14ac:dyDescent="0.25">
      <c r="A1850" t="s">
        <v>651</v>
      </c>
      <c r="B1850" t="s">
        <v>24</v>
      </c>
      <c r="C1850" s="2">
        <f>HYPERLINK("https://cao.dolgi.msk.ru/account/1050457185/", 1050457185)</f>
        <v>1050457185</v>
      </c>
      <c r="D1850" s="4">
        <v>9680.66</v>
      </c>
      <c r="E1850">
        <v>1.01</v>
      </c>
    </row>
    <row r="1851" spans="1:5" x14ac:dyDescent="0.25">
      <c r="A1851" t="s">
        <v>652</v>
      </c>
      <c r="B1851" t="s">
        <v>12</v>
      </c>
      <c r="C1851" s="2">
        <f>HYPERLINK("https://cao.dolgi.msk.ru/account/1058147763/", 1058147763)</f>
        <v>1058147763</v>
      </c>
      <c r="D1851" s="4">
        <v>6132.41</v>
      </c>
      <c r="E1851">
        <v>1.26</v>
      </c>
    </row>
    <row r="1852" spans="1:5" x14ac:dyDescent="0.25">
      <c r="A1852" t="s">
        <v>652</v>
      </c>
      <c r="B1852" t="s">
        <v>44</v>
      </c>
      <c r="C1852" s="2">
        <f>HYPERLINK("https://cao.dolgi.msk.ru/account/1050653071/", 1050653071)</f>
        <v>1050653071</v>
      </c>
      <c r="D1852" s="4">
        <v>23564.68</v>
      </c>
      <c r="E1852">
        <v>4.08</v>
      </c>
    </row>
    <row r="1853" spans="1:5" x14ac:dyDescent="0.25">
      <c r="A1853" t="s">
        <v>652</v>
      </c>
      <c r="B1853" t="s">
        <v>73</v>
      </c>
      <c r="C1853" s="2">
        <f>HYPERLINK("https://cao.dolgi.msk.ru/account/1050653725/", 1050653725)</f>
        <v>1050653725</v>
      </c>
      <c r="D1853" s="4">
        <v>11438.3</v>
      </c>
      <c r="E1853">
        <v>2</v>
      </c>
    </row>
    <row r="1854" spans="1:5" x14ac:dyDescent="0.25">
      <c r="A1854" t="s">
        <v>653</v>
      </c>
      <c r="B1854" t="s">
        <v>37</v>
      </c>
      <c r="C1854" s="2">
        <f>HYPERLINK("https://cao.dolgi.msk.ru/account/1058169217/", 1058169217)</f>
        <v>1058169217</v>
      </c>
      <c r="D1854" s="4">
        <v>10855.02</v>
      </c>
      <c r="E1854">
        <v>1.36</v>
      </c>
    </row>
    <row r="1855" spans="1:5" x14ac:dyDescent="0.25">
      <c r="A1855" t="s">
        <v>653</v>
      </c>
      <c r="B1855" t="s">
        <v>41</v>
      </c>
      <c r="C1855" s="2">
        <f>HYPERLINK("https://cao.dolgi.msk.ru/account/1058025029/", 1058025029)</f>
        <v>1058025029</v>
      </c>
      <c r="D1855" s="4">
        <v>23735.56</v>
      </c>
      <c r="E1855">
        <v>1.59</v>
      </c>
    </row>
    <row r="1856" spans="1:5" x14ac:dyDescent="0.25">
      <c r="A1856" t="s">
        <v>654</v>
      </c>
      <c r="B1856" t="s">
        <v>11</v>
      </c>
      <c r="C1856" s="2">
        <f>HYPERLINK("https://cao.dolgi.msk.ru/account/1050650751/", 1050650751)</f>
        <v>1050650751</v>
      </c>
      <c r="D1856" s="4">
        <v>17059.63</v>
      </c>
      <c r="E1856">
        <v>2.94</v>
      </c>
    </row>
    <row r="1857" spans="1:5" x14ac:dyDescent="0.25">
      <c r="A1857" t="s">
        <v>654</v>
      </c>
      <c r="B1857" t="s">
        <v>18</v>
      </c>
      <c r="C1857" s="2">
        <f>HYPERLINK("https://cao.dolgi.msk.ru/account/1050650903/", 1050650903)</f>
        <v>1050650903</v>
      </c>
      <c r="D1857" s="4">
        <v>7954.95</v>
      </c>
      <c r="E1857">
        <v>1.72</v>
      </c>
    </row>
    <row r="1858" spans="1:5" x14ac:dyDescent="0.25">
      <c r="A1858" t="s">
        <v>654</v>
      </c>
      <c r="B1858" t="s">
        <v>31</v>
      </c>
      <c r="C1858" s="2">
        <f>HYPERLINK("https://cao.dolgi.msk.ru/account/1058025272/", 1058025272)</f>
        <v>1058025272</v>
      </c>
      <c r="D1858" s="4">
        <v>14151.71</v>
      </c>
      <c r="E1858">
        <v>2.98</v>
      </c>
    </row>
    <row r="1859" spans="1:5" x14ac:dyDescent="0.25">
      <c r="A1859" t="s">
        <v>654</v>
      </c>
      <c r="B1859" t="s">
        <v>61</v>
      </c>
      <c r="C1859" s="2">
        <f>HYPERLINK("https://cao.dolgi.msk.ru/account/1050651586/", 1050651586)</f>
        <v>1050651586</v>
      </c>
      <c r="D1859" s="4">
        <v>10489.91</v>
      </c>
      <c r="E1859">
        <v>1.27</v>
      </c>
    </row>
    <row r="1860" spans="1:5" x14ac:dyDescent="0.25">
      <c r="A1860" t="s">
        <v>654</v>
      </c>
      <c r="B1860" t="s">
        <v>68</v>
      </c>
      <c r="C1860" s="2">
        <f>HYPERLINK("https://cao.dolgi.msk.ru/account/1050651682/", 1050651682)</f>
        <v>1050651682</v>
      </c>
      <c r="D1860" s="4">
        <v>40290.74</v>
      </c>
      <c r="E1860">
        <v>9.1300000000000008</v>
      </c>
    </row>
    <row r="1861" spans="1:5" x14ac:dyDescent="0.25">
      <c r="A1861" t="s">
        <v>654</v>
      </c>
      <c r="B1861" t="s">
        <v>69</v>
      </c>
      <c r="C1861" s="2">
        <f>HYPERLINK("https://cao.dolgi.msk.ru/account/1050651703/", 1050651703)</f>
        <v>1050651703</v>
      </c>
      <c r="D1861" s="4">
        <v>24089.69</v>
      </c>
      <c r="E1861">
        <v>5.6</v>
      </c>
    </row>
    <row r="1862" spans="1:5" x14ac:dyDescent="0.25">
      <c r="A1862" t="s">
        <v>655</v>
      </c>
      <c r="B1862" t="s">
        <v>11</v>
      </c>
      <c r="C1862" s="2">
        <f>HYPERLINK("https://cao.dolgi.msk.ru/account/1050504295/", 1050504295)</f>
        <v>1050504295</v>
      </c>
      <c r="D1862" s="4">
        <v>270077.93</v>
      </c>
      <c r="E1862">
        <v>14.79</v>
      </c>
    </row>
    <row r="1863" spans="1:5" x14ac:dyDescent="0.25">
      <c r="A1863" t="s">
        <v>655</v>
      </c>
      <c r="B1863" t="s">
        <v>12</v>
      </c>
      <c r="C1863" s="2">
        <f>HYPERLINK("https://cao.dolgi.msk.ru/account/1050504308/", 1050504308)</f>
        <v>1050504308</v>
      </c>
      <c r="D1863" s="4">
        <v>10688.46</v>
      </c>
      <c r="E1863">
        <v>1.03</v>
      </c>
    </row>
    <row r="1864" spans="1:5" x14ac:dyDescent="0.25">
      <c r="A1864" t="s">
        <v>655</v>
      </c>
      <c r="B1864" t="s">
        <v>20</v>
      </c>
      <c r="C1864" s="2">
        <f>HYPERLINK("https://cao.dolgi.msk.ru/account/1050504324/", 1050504324)</f>
        <v>1050504324</v>
      </c>
      <c r="D1864" s="4">
        <v>29801.69</v>
      </c>
      <c r="E1864">
        <v>2.0099999999999998</v>
      </c>
    </row>
    <row r="1865" spans="1:5" x14ac:dyDescent="0.25">
      <c r="A1865" t="s">
        <v>655</v>
      </c>
      <c r="B1865" t="s">
        <v>26</v>
      </c>
      <c r="C1865" s="2">
        <f>HYPERLINK("https://cao.dolgi.msk.ru/account/1050504471/", 1050504471)</f>
        <v>1050504471</v>
      </c>
      <c r="D1865" s="4">
        <v>34664.21</v>
      </c>
      <c r="E1865">
        <v>1.93</v>
      </c>
    </row>
    <row r="1866" spans="1:5" x14ac:dyDescent="0.25">
      <c r="A1866" t="s">
        <v>656</v>
      </c>
      <c r="B1866" t="s">
        <v>13</v>
      </c>
      <c r="C1866" s="2">
        <f>HYPERLINK("https://cao.dolgi.msk.ru/account/1050505378/", 1050505378)</f>
        <v>1050505378</v>
      </c>
      <c r="D1866" s="4">
        <v>7652.25</v>
      </c>
      <c r="E1866">
        <v>1.37</v>
      </c>
    </row>
    <row r="1867" spans="1:5" x14ac:dyDescent="0.25">
      <c r="A1867" t="s">
        <v>656</v>
      </c>
      <c r="B1867" t="s">
        <v>32</v>
      </c>
      <c r="C1867" s="2">
        <f>HYPERLINK("https://cao.dolgi.msk.ru/account/1050505626/", 1050505626)</f>
        <v>1050505626</v>
      </c>
      <c r="D1867" s="4">
        <v>10879.32</v>
      </c>
      <c r="E1867">
        <v>1.24</v>
      </c>
    </row>
    <row r="1868" spans="1:5" x14ac:dyDescent="0.25">
      <c r="A1868" t="s">
        <v>657</v>
      </c>
      <c r="B1868" t="s">
        <v>29</v>
      </c>
      <c r="C1868" s="2">
        <f>HYPERLINK("https://cao.dolgi.msk.ru/account/1059024714/", 1059024714)</f>
        <v>1059024714</v>
      </c>
      <c r="D1868" s="4">
        <v>44657.46</v>
      </c>
      <c r="E1868">
        <v>2.38</v>
      </c>
    </row>
    <row r="1869" spans="1:5" x14ac:dyDescent="0.25">
      <c r="A1869" t="s">
        <v>658</v>
      </c>
      <c r="B1869" t="s">
        <v>12</v>
      </c>
      <c r="C1869" s="2">
        <f>HYPERLINK("https://cao.dolgi.msk.ru/account/1050538225/", 1050538225)</f>
        <v>1050538225</v>
      </c>
      <c r="D1869" s="4">
        <v>70586.759999999995</v>
      </c>
      <c r="E1869">
        <v>4.78</v>
      </c>
    </row>
    <row r="1870" spans="1:5" x14ac:dyDescent="0.25">
      <c r="A1870" t="s">
        <v>658</v>
      </c>
      <c r="B1870" t="s">
        <v>13</v>
      </c>
      <c r="C1870" s="2">
        <f>HYPERLINK("https://cao.dolgi.msk.ru/account/1050538882/", 1050538882)</f>
        <v>1050538882</v>
      </c>
      <c r="D1870" s="4">
        <v>53605.62</v>
      </c>
      <c r="E1870">
        <v>2.96</v>
      </c>
    </row>
    <row r="1871" spans="1:5" x14ac:dyDescent="0.25">
      <c r="A1871" t="s">
        <v>658</v>
      </c>
      <c r="B1871" t="s">
        <v>14</v>
      </c>
      <c r="C1871" s="2">
        <f>HYPERLINK("https://cao.dolgi.msk.ru/account/1050538284/", 1050538284)</f>
        <v>1050538284</v>
      </c>
      <c r="D1871" s="4">
        <v>37938.94</v>
      </c>
      <c r="E1871">
        <v>2.82</v>
      </c>
    </row>
    <row r="1872" spans="1:5" x14ac:dyDescent="0.25">
      <c r="A1872" t="s">
        <v>659</v>
      </c>
      <c r="B1872" t="s">
        <v>18</v>
      </c>
      <c r="C1872" s="2">
        <f>HYPERLINK("https://cao.dolgi.msk.ru/account/1050538508/", 1050538508)</f>
        <v>1050538508</v>
      </c>
      <c r="D1872" s="4">
        <v>26279.62</v>
      </c>
      <c r="E1872">
        <v>1.61</v>
      </c>
    </row>
    <row r="1873" spans="1:5" x14ac:dyDescent="0.25">
      <c r="A1873" t="s">
        <v>659</v>
      </c>
      <c r="B1873" t="s">
        <v>93</v>
      </c>
      <c r="C1873" s="2">
        <f>HYPERLINK("https://cao.dolgi.msk.ru/account/1050538567/", 1050538567)</f>
        <v>1050538567</v>
      </c>
      <c r="D1873" s="4">
        <v>101007.34</v>
      </c>
      <c r="E1873">
        <v>5.95</v>
      </c>
    </row>
    <row r="1874" spans="1:5" x14ac:dyDescent="0.25">
      <c r="A1874" t="s">
        <v>660</v>
      </c>
      <c r="B1874" t="s">
        <v>23</v>
      </c>
      <c r="C1874" s="2">
        <f>HYPERLINK("https://cao.dolgi.msk.ru/account/1056047072/", 1056047072)</f>
        <v>1056047072</v>
      </c>
      <c r="D1874" s="4">
        <v>33487.68</v>
      </c>
      <c r="E1874">
        <v>2</v>
      </c>
    </row>
    <row r="1875" spans="1:5" x14ac:dyDescent="0.25">
      <c r="A1875" t="s">
        <v>660</v>
      </c>
      <c r="B1875" t="s">
        <v>45</v>
      </c>
      <c r="C1875" s="2">
        <f>HYPERLINK("https://cao.dolgi.msk.ru/account/1056047347/", 1056047347)</f>
        <v>1056047347</v>
      </c>
      <c r="D1875" s="4">
        <v>10318.120000000001</v>
      </c>
      <c r="E1875">
        <v>1.94</v>
      </c>
    </row>
    <row r="1876" spans="1:5" x14ac:dyDescent="0.25">
      <c r="A1876" t="s">
        <v>661</v>
      </c>
      <c r="B1876" t="s">
        <v>8</v>
      </c>
      <c r="C1876" s="2">
        <f>HYPERLINK("https://cao.dolgi.msk.ru/account/1050587668/", 1050587668)</f>
        <v>1050587668</v>
      </c>
      <c r="D1876" s="4">
        <v>168754.33</v>
      </c>
      <c r="E1876">
        <v>21.29</v>
      </c>
    </row>
    <row r="1877" spans="1:5" x14ac:dyDescent="0.25">
      <c r="A1877" t="s">
        <v>661</v>
      </c>
      <c r="B1877" t="s">
        <v>56</v>
      </c>
      <c r="C1877" s="2">
        <f>HYPERLINK("https://cao.dolgi.msk.ru/account/1050588791/", 1050588791)</f>
        <v>1050588791</v>
      </c>
      <c r="D1877" s="4">
        <v>12170.78</v>
      </c>
      <c r="E1877">
        <v>1.9</v>
      </c>
    </row>
    <row r="1878" spans="1:5" x14ac:dyDescent="0.25">
      <c r="A1878" t="s">
        <v>661</v>
      </c>
      <c r="B1878" t="s">
        <v>61</v>
      </c>
      <c r="C1878" s="2">
        <f>HYPERLINK("https://cao.dolgi.msk.ru/account/1050588548/", 1050588548)</f>
        <v>1050588548</v>
      </c>
      <c r="D1878" s="4">
        <v>18026.02</v>
      </c>
      <c r="E1878">
        <v>2</v>
      </c>
    </row>
    <row r="1879" spans="1:5" x14ac:dyDescent="0.25">
      <c r="A1879" t="s">
        <v>661</v>
      </c>
      <c r="B1879" t="s">
        <v>82</v>
      </c>
      <c r="C1879" s="2">
        <f>HYPERLINK("https://cao.dolgi.msk.ru/account/1050588994/", 1050588994)</f>
        <v>1050588994</v>
      </c>
      <c r="D1879" s="4">
        <v>8431.2000000000007</v>
      </c>
      <c r="E1879">
        <v>1.02</v>
      </c>
    </row>
    <row r="1880" spans="1:5" x14ac:dyDescent="0.25">
      <c r="A1880" t="s">
        <v>661</v>
      </c>
      <c r="B1880" t="s">
        <v>109</v>
      </c>
      <c r="C1880" s="2">
        <f>HYPERLINK("https://cao.dolgi.msk.ru/account/1058026638/", 1058026638)</f>
        <v>1058026638</v>
      </c>
      <c r="D1880" s="4">
        <v>31670.74</v>
      </c>
      <c r="E1880">
        <v>4</v>
      </c>
    </row>
    <row r="1881" spans="1:5" x14ac:dyDescent="0.25">
      <c r="A1881" t="s">
        <v>661</v>
      </c>
      <c r="B1881" t="s">
        <v>113</v>
      </c>
      <c r="C1881" s="2">
        <f>HYPERLINK("https://cao.dolgi.msk.ru/account/1050589479/", 1050589479)</f>
        <v>1050589479</v>
      </c>
      <c r="D1881" s="4">
        <v>86185.09</v>
      </c>
      <c r="E1881">
        <v>12.2</v>
      </c>
    </row>
    <row r="1882" spans="1:5" x14ac:dyDescent="0.25">
      <c r="A1882" t="s">
        <v>661</v>
      </c>
      <c r="B1882" t="s">
        <v>122</v>
      </c>
      <c r="C1882" s="2">
        <f>HYPERLINK("https://cao.dolgi.msk.ru/account/1058141409/", 1058141409)</f>
        <v>1058141409</v>
      </c>
      <c r="D1882" s="4">
        <v>6414.33</v>
      </c>
      <c r="E1882">
        <v>1.02</v>
      </c>
    </row>
    <row r="1883" spans="1:5" x14ac:dyDescent="0.25">
      <c r="A1883" t="s">
        <v>661</v>
      </c>
      <c r="B1883" t="s">
        <v>130</v>
      </c>
      <c r="C1883" s="2">
        <f>HYPERLINK("https://cao.dolgi.msk.ru/account/1050589823/", 1050589823)</f>
        <v>1050589823</v>
      </c>
      <c r="D1883" s="4">
        <v>18867.52</v>
      </c>
      <c r="E1883">
        <v>3.8</v>
      </c>
    </row>
    <row r="1884" spans="1:5" x14ac:dyDescent="0.25">
      <c r="A1884" t="s">
        <v>661</v>
      </c>
      <c r="B1884" t="s">
        <v>138</v>
      </c>
      <c r="C1884" s="2">
        <f>HYPERLINK("https://cao.dolgi.msk.ru/account/1050589903/", 1050589903)</f>
        <v>1050589903</v>
      </c>
      <c r="D1884" s="4">
        <v>238600.09</v>
      </c>
      <c r="E1884">
        <v>33.89</v>
      </c>
    </row>
    <row r="1885" spans="1:5" x14ac:dyDescent="0.25">
      <c r="A1885" t="s">
        <v>661</v>
      </c>
      <c r="B1885" t="s">
        <v>224</v>
      </c>
      <c r="C1885" s="2">
        <f>HYPERLINK("https://cao.dolgi.msk.ru/account/1050590162/", 1050590162)</f>
        <v>1050590162</v>
      </c>
      <c r="D1885" s="4">
        <v>5787.2</v>
      </c>
      <c r="E1885">
        <v>1.02</v>
      </c>
    </row>
    <row r="1886" spans="1:5" x14ac:dyDescent="0.25">
      <c r="A1886" t="s">
        <v>661</v>
      </c>
      <c r="B1886" t="s">
        <v>156</v>
      </c>
      <c r="C1886" s="2">
        <f>HYPERLINK("https://cao.dolgi.msk.ru/account/1050590189/", 1050590189)</f>
        <v>1050590189</v>
      </c>
      <c r="D1886" s="4">
        <v>7640.96</v>
      </c>
      <c r="E1886">
        <v>1.01</v>
      </c>
    </row>
    <row r="1887" spans="1:5" x14ac:dyDescent="0.25">
      <c r="A1887" t="s">
        <v>661</v>
      </c>
      <c r="B1887" t="s">
        <v>158</v>
      </c>
      <c r="C1887" s="2">
        <f>HYPERLINK("https://cao.dolgi.msk.ru/account/1050590218/", 1050590218)</f>
        <v>1050590218</v>
      </c>
      <c r="D1887" s="4">
        <v>5009.72</v>
      </c>
      <c r="E1887">
        <v>1.1599999999999999</v>
      </c>
    </row>
    <row r="1888" spans="1:5" x14ac:dyDescent="0.25">
      <c r="A1888" t="s">
        <v>662</v>
      </c>
      <c r="B1888" t="s">
        <v>7</v>
      </c>
      <c r="C1888" s="2">
        <f>HYPERLINK("https://cao.dolgi.msk.ru/account/1050556693/", 1050556693)</f>
        <v>1050556693</v>
      </c>
      <c r="D1888" s="4">
        <v>7523.36</v>
      </c>
      <c r="E1888">
        <v>1.1299999999999999</v>
      </c>
    </row>
    <row r="1889" spans="1:5" x14ac:dyDescent="0.25">
      <c r="A1889" t="s">
        <v>662</v>
      </c>
      <c r="B1889" t="s">
        <v>10</v>
      </c>
      <c r="C1889" s="2">
        <f>HYPERLINK("https://cao.dolgi.msk.ru/account/1050556722/", 1050556722)</f>
        <v>1050556722</v>
      </c>
      <c r="D1889" s="4">
        <v>15935.5</v>
      </c>
      <c r="E1889">
        <v>2.04</v>
      </c>
    </row>
    <row r="1890" spans="1:5" x14ac:dyDescent="0.25">
      <c r="A1890" t="s">
        <v>662</v>
      </c>
      <c r="B1890" t="s">
        <v>21</v>
      </c>
      <c r="C1890" s="2">
        <f>HYPERLINK("https://cao.dolgi.msk.ru/account/1050557055/", 1050557055)</f>
        <v>1050557055</v>
      </c>
      <c r="D1890" s="4">
        <v>7475.44</v>
      </c>
      <c r="E1890">
        <v>1.05</v>
      </c>
    </row>
    <row r="1891" spans="1:5" x14ac:dyDescent="0.25">
      <c r="A1891" t="s">
        <v>662</v>
      </c>
      <c r="B1891" t="s">
        <v>32</v>
      </c>
      <c r="C1891" s="2">
        <f>HYPERLINK("https://cao.dolgi.msk.ru/account/1058132406/", 1058132406)</f>
        <v>1058132406</v>
      </c>
      <c r="D1891" s="4">
        <v>16894.84</v>
      </c>
      <c r="E1891">
        <v>2</v>
      </c>
    </row>
    <row r="1892" spans="1:5" x14ac:dyDescent="0.25">
      <c r="A1892" t="s">
        <v>662</v>
      </c>
      <c r="B1892" t="s">
        <v>43</v>
      </c>
      <c r="C1892" s="2">
        <f>HYPERLINK("https://cao.dolgi.msk.ru/account/1050557485/", 1050557485)</f>
        <v>1050557485</v>
      </c>
      <c r="D1892" s="4">
        <v>17349.02</v>
      </c>
      <c r="E1892">
        <v>1.99</v>
      </c>
    </row>
    <row r="1893" spans="1:5" x14ac:dyDescent="0.25">
      <c r="A1893" t="s">
        <v>662</v>
      </c>
      <c r="B1893" t="s">
        <v>95</v>
      </c>
      <c r="C1893" s="2">
        <f>HYPERLINK("https://cao.dolgi.msk.ru/account/1050557725/", 1050557725)</f>
        <v>1050557725</v>
      </c>
      <c r="D1893" s="4">
        <v>14165.25</v>
      </c>
      <c r="E1893">
        <v>1.96</v>
      </c>
    </row>
    <row r="1894" spans="1:5" x14ac:dyDescent="0.25">
      <c r="A1894" t="s">
        <v>662</v>
      </c>
      <c r="B1894" t="s">
        <v>51</v>
      </c>
      <c r="C1894" s="2">
        <f>HYPERLINK("https://cao.dolgi.msk.ru/account/1050557792/", 1050557792)</f>
        <v>1050557792</v>
      </c>
      <c r="D1894" s="4">
        <v>8538.83</v>
      </c>
      <c r="E1894">
        <v>1.03</v>
      </c>
    </row>
    <row r="1895" spans="1:5" x14ac:dyDescent="0.25">
      <c r="A1895" t="s">
        <v>663</v>
      </c>
      <c r="B1895" t="s">
        <v>6</v>
      </c>
      <c r="C1895" s="2">
        <f>HYPERLINK("https://cao.dolgi.msk.ru/account/1050557952/", 1050557952)</f>
        <v>1050557952</v>
      </c>
      <c r="D1895" s="4">
        <v>5204.75</v>
      </c>
      <c r="E1895">
        <v>1.05</v>
      </c>
    </row>
    <row r="1896" spans="1:5" x14ac:dyDescent="0.25">
      <c r="A1896" t="s">
        <v>663</v>
      </c>
      <c r="B1896" t="s">
        <v>11</v>
      </c>
      <c r="C1896" s="2">
        <f>HYPERLINK("https://cao.dolgi.msk.ru/account/1058014573/", 1058014573)</f>
        <v>1058014573</v>
      </c>
      <c r="D1896" s="4">
        <v>10272.19</v>
      </c>
      <c r="E1896">
        <v>2.1</v>
      </c>
    </row>
    <row r="1897" spans="1:5" x14ac:dyDescent="0.25">
      <c r="A1897" t="s">
        <v>663</v>
      </c>
      <c r="B1897" t="s">
        <v>13</v>
      </c>
      <c r="C1897" s="2">
        <f>HYPERLINK("https://cao.dolgi.msk.ru/account/1050558349/", 1050558349)</f>
        <v>1050558349</v>
      </c>
      <c r="D1897" s="4">
        <v>37890.97</v>
      </c>
      <c r="E1897">
        <v>4.9000000000000004</v>
      </c>
    </row>
    <row r="1898" spans="1:5" x14ac:dyDescent="0.25">
      <c r="A1898" t="s">
        <v>663</v>
      </c>
      <c r="B1898" t="s">
        <v>38</v>
      </c>
      <c r="C1898" s="2">
        <f>HYPERLINK("https://cao.dolgi.msk.ru/account/1050559325/", 1050559325)</f>
        <v>1050559325</v>
      </c>
      <c r="D1898" s="4">
        <v>32629.84</v>
      </c>
      <c r="E1898">
        <v>4</v>
      </c>
    </row>
    <row r="1899" spans="1:5" x14ac:dyDescent="0.25">
      <c r="A1899" t="s">
        <v>664</v>
      </c>
      <c r="B1899" t="s">
        <v>20</v>
      </c>
      <c r="C1899" s="2">
        <f>HYPERLINK("https://cao.dolgi.msk.ru/account/1058124203/", 1058124203)</f>
        <v>1058124203</v>
      </c>
      <c r="D1899" s="4">
        <v>7825.96</v>
      </c>
      <c r="E1899">
        <v>2.0499999999999998</v>
      </c>
    </row>
    <row r="1900" spans="1:5" x14ac:dyDescent="0.25">
      <c r="A1900" t="s">
        <v>664</v>
      </c>
      <c r="B1900" t="s">
        <v>22</v>
      </c>
      <c r="C1900" s="2">
        <f>HYPERLINK("https://cao.dolgi.msk.ru/account/1050542726/", 1050542726)</f>
        <v>1050542726</v>
      </c>
      <c r="D1900" s="4">
        <v>26855.55</v>
      </c>
      <c r="E1900">
        <v>1.86</v>
      </c>
    </row>
    <row r="1901" spans="1:5" x14ac:dyDescent="0.25">
      <c r="A1901" t="s">
        <v>665</v>
      </c>
      <c r="B1901" t="s">
        <v>23</v>
      </c>
      <c r="C1901" s="2">
        <f>HYPERLINK("https://cao.dolgi.msk.ru/account/1058157507/", 1058157507)</f>
        <v>1058157507</v>
      </c>
      <c r="D1901" s="4">
        <v>14247.22</v>
      </c>
      <c r="E1901">
        <v>1.01</v>
      </c>
    </row>
    <row r="1902" spans="1:5" x14ac:dyDescent="0.25">
      <c r="A1902" t="s">
        <v>666</v>
      </c>
      <c r="B1902" t="s">
        <v>17</v>
      </c>
      <c r="C1902" s="2">
        <f>HYPERLINK("https://cao.dolgi.msk.ru/account/1056022123/", 1056022123)</f>
        <v>1056022123</v>
      </c>
      <c r="D1902" s="4">
        <v>24838.16</v>
      </c>
      <c r="E1902">
        <v>1.01</v>
      </c>
    </row>
    <row r="1903" spans="1:5" x14ac:dyDescent="0.25">
      <c r="A1903" t="s">
        <v>667</v>
      </c>
      <c r="B1903" t="s">
        <v>585</v>
      </c>
      <c r="C1903" s="2">
        <f>HYPERLINK("https://cao.dolgi.msk.ru/account/1058124529/", 1058124529)</f>
        <v>1058124529</v>
      </c>
      <c r="D1903" s="4">
        <v>13383.29</v>
      </c>
      <c r="E1903">
        <v>1.97</v>
      </c>
    </row>
    <row r="1904" spans="1:5" x14ac:dyDescent="0.25">
      <c r="A1904" t="s">
        <v>667</v>
      </c>
      <c r="B1904" t="s">
        <v>17</v>
      </c>
      <c r="C1904" s="2">
        <f>HYPERLINK("https://cao.dolgi.msk.ru/account/1050554372/", 1050554372)</f>
        <v>1050554372</v>
      </c>
      <c r="D1904" s="4">
        <v>30677.3</v>
      </c>
      <c r="E1904">
        <v>4.03</v>
      </c>
    </row>
    <row r="1905" spans="1:5" x14ac:dyDescent="0.25">
      <c r="A1905" t="s">
        <v>668</v>
      </c>
      <c r="B1905" t="s">
        <v>7</v>
      </c>
      <c r="C1905" s="2">
        <f>HYPERLINK("https://cao.dolgi.msk.ru/account/1050590541/", 1050590541)</f>
        <v>1050590541</v>
      </c>
      <c r="D1905" s="4">
        <v>5510.71</v>
      </c>
      <c r="E1905">
        <v>1.76</v>
      </c>
    </row>
    <row r="1906" spans="1:5" x14ac:dyDescent="0.25">
      <c r="A1906" t="s">
        <v>668</v>
      </c>
      <c r="B1906" t="s">
        <v>11</v>
      </c>
      <c r="C1906" s="2">
        <f>HYPERLINK("https://cao.dolgi.msk.ru/account/1050590613/", 1050590613)</f>
        <v>1050590613</v>
      </c>
      <c r="D1906" s="4">
        <v>14005.58</v>
      </c>
      <c r="E1906">
        <v>1.76</v>
      </c>
    </row>
    <row r="1907" spans="1:5" x14ac:dyDescent="0.25">
      <c r="A1907" t="s">
        <v>668</v>
      </c>
      <c r="B1907" t="s">
        <v>18</v>
      </c>
      <c r="C1907" s="2">
        <f>HYPERLINK("https://cao.dolgi.msk.ru/account/1050590779/", 1050590779)</f>
        <v>1050590779</v>
      </c>
      <c r="D1907" s="4">
        <v>12534.14</v>
      </c>
      <c r="E1907">
        <v>2</v>
      </c>
    </row>
    <row r="1908" spans="1:5" x14ac:dyDescent="0.25">
      <c r="A1908" t="s">
        <v>668</v>
      </c>
      <c r="B1908" t="s">
        <v>30</v>
      </c>
      <c r="C1908" s="2">
        <f>HYPERLINK("https://cao.dolgi.msk.ru/account/1050590998/", 1050590998)</f>
        <v>1050590998</v>
      </c>
      <c r="D1908" s="4">
        <v>104088.1</v>
      </c>
      <c r="E1908">
        <v>11.59</v>
      </c>
    </row>
    <row r="1909" spans="1:5" x14ac:dyDescent="0.25">
      <c r="A1909" t="s">
        <v>669</v>
      </c>
      <c r="B1909" t="s">
        <v>8</v>
      </c>
      <c r="C1909" s="2">
        <f>HYPERLINK("https://cao.dolgi.msk.ru/account/1050554858/", 1050554858)</f>
        <v>1050554858</v>
      </c>
      <c r="D1909" s="4">
        <v>25718.92</v>
      </c>
      <c r="E1909">
        <v>2.2000000000000002</v>
      </c>
    </row>
    <row r="1910" spans="1:5" x14ac:dyDescent="0.25">
      <c r="A1910" t="s">
        <v>670</v>
      </c>
      <c r="B1910" t="s">
        <v>16</v>
      </c>
      <c r="C1910" s="2">
        <f>HYPERLINK("https://cao.dolgi.msk.ru/account/1058134014/", 1058134014)</f>
        <v>1058134014</v>
      </c>
      <c r="D1910" s="4">
        <v>18265.16</v>
      </c>
      <c r="E1910">
        <v>2</v>
      </c>
    </row>
    <row r="1911" spans="1:5" x14ac:dyDescent="0.25">
      <c r="A1911" t="s">
        <v>671</v>
      </c>
      <c r="B1911" t="s">
        <v>8</v>
      </c>
      <c r="C1911" s="2">
        <f>HYPERLINK("https://cao.dolgi.msk.ru/account/1050539922/", 1050539922)</f>
        <v>1050539922</v>
      </c>
      <c r="D1911" s="4">
        <v>8134.38</v>
      </c>
      <c r="E1911">
        <v>1.1000000000000001</v>
      </c>
    </row>
    <row r="1912" spans="1:5" x14ac:dyDescent="0.25">
      <c r="A1912" t="s">
        <v>671</v>
      </c>
      <c r="B1912" t="s">
        <v>19</v>
      </c>
      <c r="C1912" s="2">
        <f>HYPERLINK("https://cao.dolgi.msk.ru/account/1050540392/", 1050540392)</f>
        <v>1050540392</v>
      </c>
      <c r="D1912" s="4">
        <v>10432.02</v>
      </c>
      <c r="E1912">
        <v>1.05</v>
      </c>
    </row>
    <row r="1913" spans="1:5" x14ac:dyDescent="0.25">
      <c r="A1913" t="s">
        <v>671</v>
      </c>
      <c r="B1913" t="s">
        <v>421</v>
      </c>
      <c r="C1913" s="2">
        <f>HYPERLINK("https://cao.dolgi.msk.ru/account/1050540456/", 1050540456)</f>
        <v>1050540456</v>
      </c>
      <c r="D1913" s="4">
        <v>12383.94</v>
      </c>
      <c r="E1913">
        <v>1.41</v>
      </c>
    </row>
    <row r="1914" spans="1:5" x14ac:dyDescent="0.25">
      <c r="A1914" t="s">
        <v>671</v>
      </c>
      <c r="B1914" t="s">
        <v>27</v>
      </c>
      <c r="C1914" s="2">
        <f>HYPERLINK("https://cao.dolgi.msk.ru/account/1050540835/", 1050540835)</f>
        <v>1050540835</v>
      </c>
      <c r="D1914" s="4">
        <v>25746.09</v>
      </c>
      <c r="E1914">
        <v>1.71</v>
      </c>
    </row>
    <row r="1915" spans="1:5" x14ac:dyDescent="0.25">
      <c r="A1915" t="s">
        <v>672</v>
      </c>
      <c r="B1915" t="s">
        <v>19</v>
      </c>
      <c r="C1915" s="2">
        <f>HYPERLINK("https://cao.dolgi.msk.ru/account/1050312197/", 1050312197)</f>
        <v>1050312197</v>
      </c>
      <c r="D1915" s="4">
        <v>5340.76</v>
      </c>
      <c r="E1915">
        <v>1.29</v>
      </c>
    </row>
    <row r="1916" spans="1:5" x14ac:dyDescent="0.25">
      <c r="A1916" t="s">
        <v>672</v>
      </c>
      <c r="B1916" t="s">
        <v>31</v>
      </c>
      <c r="C1916" s="2">
        <f>HYPERLINK("https://cao.dolgi.msk.ru/account/1050312349/", 1050312349)</f>
        <v>1050312349</v>
      </c>
      <c r="D1916" s="4">
        <v>5487.35</v>
      </c>
      <c r="E1916">
        <v>2.5299999999999998</v>
      </c>
    </row>
    <row r="1917" spans="1:5" x14ac:dyDescent="0.25">
      <c r="A1917" t="s">
        <v>673</v>
      </c>
      <c r="B1917" t="s">
        <v>15</v>
      </c>
      <c r="C1917" s="2">
        <f>HYPERLINK("https://cao.dolgi.msk.ru/account/1056005892/", 1056005892)</f>
        <v>1056005892</v>
      </c>
      <c r="D1917" s="4">
        <v>24270.84</v>
      </c>
      <c r="E1917">
        <v>1.77</v>
      </c>
    </row>
    <row r="1918" spans="1:5" x14ac:dyDescent="0.25">
      <c r="A1918" t="s">
        <v>673</v>
      </c>
      <c r="B1918" t="s">
        <v>38</v>
      </c>
      <c r="C1918" s="2">
        <f>HYPERLINK("https://cao.dolgi.msk.ru/account/1058187896/", 1058187896)</f>
        <v>1058187896</v>
      </c>
      <c r="D1918" s="4">
        <v>34333.160000000003</v>
      </c>
      <c r="E1918">
        <v>2.0299999999999998</v>
      </c>
    </row>
    <row r="1919" spans="1:5" x14ac:dyDescent="0.25">
      <c r="A1919" t="s">
        <v>673</v>
      </c>
      <c r="B1919" t="s">
        <v>39</v>
      </c>
      <c r="C1919" s="2">
        <f>HYPERLINK("https://cao.dolgi.msk.ru/account/1058008501/", 1058008501)</f>
        <v>1058008501</v>
      </c>
      <c r="D1919" s="4">
        <v>39757.49</v>
      </c>
      <c r="E1919">
        <v>3.96</v>
      </c>
    </row>
    <row r="1920" spans="1:5" x14ac:dyDescent="0.25">
      <c r="A1920" t="s">
        <v>674</v>
      </c>
      <c r="B1920" t="s">
        <v>29</v>
      </c>
      <c r="C1920" s="2">
        <f>HYPERLINK("https://cao.dolgi.msk.ru/account/1058069718/", 1058069718)</f>
        <v>1058069718</v>
      </c>
      <c r="D1920" s="4">
        <v>16640.099999999999</v>
      </c>
      <c r="E1920">
        <v>2</v>
      </c>
    </row>
    <row r="1921" spans="1:5" x14ac:dyDescent="0.25">
      <c r="A1921" t="s">
        <v>674</v>
      </c>
      <c r="B1921" t="s">
        <v>94</v>
      </c>
      <c r="C1921" s="2">
        <f>HYPERLINK("https://cao.dolgi.msk.ru/account/1058070356/", 1058070356)</f>
        <v>1058070356</v>
      </c>
      <c r="D1921" s="4">
        <v>8834.7800000000007</v>
      </c>
      <c r="E1921">
        <v>1.0900000000000001</v>
      </c>
    </row>
    <row r="1922" spans="1:5" x14ac:dyDescent="0.25">
      <c r="A1922" t="s">
        <v>675</v>
      </c>
      <c r="B1922" t="s">
        <v>11</v>
      </c>
      <c r="C1922" s="2">
        <f>HYPERLINK("https://cao.dolgi.msk.ru/account/1050321421/", 1050321421)</f>
        <v>1050321421</v>
      </c>
      <c r="D1922" s="4">
        <v>7600.31</v>
      </c>
      <c r="E1922">
        <v>1.65</v>
      </c>
    </row>
    <row r="1923" spans="1:5" x14ac:dyDescent="0.25">
      <c r="A1923" t="s">
        <v>675</v>
      </c>
      <c r="B1923" t="s">
        <v>15</v>
      </c>
      <c r="C1923" s="2">
        <f>HYPERLINK("https://cao.dolgi.msk.ru/account/1050321472/", 1050321472)</f>
        <v>1050321472</v>
      </c>
      <c r="D1923" s="4">
        <v>116792.16</v>
      </c>
      <c r="E1923">
        <v>23.53</v>
      </c>
    </row>
    <row r="1924" spans="1:5" x14ac:dyDescent="0.25">
      <c r="A1924" t="s">
        <v>675</v>
      </c>
      <c r="B1924" t="s">
        <v>18</v>
      </c>
      <c r="C1924" s="2">
        <f>HYPERLINK("https://cao.dolgi.msk.ru/account/1050321528/", 1050321528)</f>
        <v>1050321528</v>
      </c>
      <c r="D1924" s="4">
        <v>9575.9599999999991</v>
      </c>
      <c r="E1924">
        <v>2.0299999999999998</v>
      </c>
    </row>
    <row r="1925" spans="1:5" x14ac:dyDescent="0.25">
      <c r="A1925" t="s">
        <v>675</v>
      </c>
      <c r="B1925" t="s">
        <v>29</v>
      </c>
      <c r="C1925" s="2">
        <f>HYPERLINK("https://cao.dolgi.msk.ru/account/1050321659/", 1050321659)</f>
        <v>1050321659</v>
      </c>
      <c r="D1925" s="4">
        <v>8492.5300000000007</v>
      </c>
      <c r="E1925">
        <v>2.12</v>
      </c>
    </row>
    <row r="1926" spans="1:5" x14ac:dyDescent="0.25">
      <c r="A1926" t="s">
        <v>675</v>
      </c>
      <c r="B1926" t="s">
        <v>48</v>
      </c>
      <c r="C1926" s="2">
        <f>HYPERLINK("https://cao.dolgi.msk.ru/account/1058027091/", 1058027091)</f>
        <v>1058027091</v>
      </c>
      <c r="D1926" s="4">
        <v>5455.22</v>
      </c>
      <c r="E1926">
        <v>1.73</v>
      </c>
    </row>
    <row r="1927" spans="1:5" x14ac:dyDescent="0.25">
      <c r="A1927" t="s">
        <v>675</v>
      </c>
      <c r="B1927" t="s">
        <v>65</v>
      </c>
      <c r="C1927" s="2">
        <f>HYPERLINK("https://cao.dolgi.msk.ru/account/1050322117/", 1050322117)</f>
        <v>1050322117</v>
      </c>
      <c r="D1927" s="4">
        <v>176110.63</v>
      </c>
      <c r="E1927">
        <v>22.89</v>
      </c>
    </row>
    <row r="1928" spans="1:5" x14ac:dyDescent="0.25">
      <c r="A1928" t="s">
        <v>675</v>
      </c>
      <c r="B1928" t="s">
        <v>86</v>
      </c>
      <c r="C1928" s="2">
        <f>HYPERLINK("https://cao.dolgi.msk.ru/account/1050322379/", 1050322379)</f>
        <v>1050322379</v>
      </c>
      <c r="D1928" s="4">
        <v>10361.75</v>
      </c>
      <c r="E1928">
        <v>1.96</v>
      </c>
    </row>
    <row r="1929" spans="1:5" x14ac:dyDescent="0.25">
      <c r="A1929" t="s">
        <v>676</v>
      </c>
      <c r="B1929" t="s">
        <v>8</v>
      </c>
      <c r="C1929" s="2">
        <f>HYPERLINK("https://cao.dolgi.msk.ru/account/1050623809/", 1050623809)</f>
        <v>1050623809</v>
      </c>
      <c r="D1929" s="4">
        <v>15736.23</v>
      </c>
      <c r="E1929">
        <v>3.72</v>
      </c>
    </row>
    <row r="1930" spans="1:5" x14ac:dyDescent="0.25">
      <c r="A1930" t="s">
        <v>676</v>
      </c>
      <c r="B1930" t="s">
        <v>17</v>
      </c>
      <c r="C1930" s="2">
        <f>HYPERLINK("https://cao.dolgi.msk.ru/account/1050623905/", 1050623905)</f>
        <v>1050623905</v>
      </c>
      <c r="D1930" s="4">
        <v>13016.35</v>
      </c>
      <c r="E1930">
        <v>2.0499999999999998</v>
      </c>
    </row>
    <row r="1931" spans="1:5" x14ac:dyDescent="0.25">
      <c r="A1931" t="s">
        <v>676</v>
      </c>
      <c r="B1931" t="s">
        <v>19</v>
      </c>
      <c r="C1931" s="2">
        <f>HYPERLINK("https://cao.dolgi.msk.ru/account/1050623948/", 1050623948)</f>
        <v>1050623948</v>
      </c>
      <c r="D1931" s="4">
        <v>6833.85</v>
      </c>
      <c r="E1931">
        <v>1.68</v>
      </c>
    </row>
    <row r="1932" spans="1:5" x14ac:dyDescent="0.25">
      <c r="A1932" t="s">
        <v>676</v>
      </c>
      <c r="B1932" t="s">
        <v>20</v>
      </c>
      <c r="C1932" s="2">
        <f>HYPERLINK("https://cao.dolgi.msk.ru/account/1050623956/", 1050623956)</f>
        <v>1050623956</v>
      </c>
      <c r="D1932" s="4">
        <v>72267.81</v>
      </c>
      <c r="E1932">
        <v>16.190000000000001</v>
      </c>
    </row>
    <row r="1933" spans="1:5" x14ac:dyDescent="0.25">
      <c r="A1933" t="s">
        <v>676</v>
      </c>
      <c r="B1933" t="s">
        <v>23</v>
      </c>
      <c r="C1933" s="2">
        <f>HYPERLINK("https://cao.dolgi.msk.ru/account/1050623999/", 1050623999)</f>
        <v>1050623999</v>
      </c>
      <c r="D1933" s="4">
        <v>10264.35</v>
      </c>
      <c r="E1933">
        <v>1.83</v>
      </c>
    </row>
    <row r="1934" spans="1:5" x14ac:dyDescent="0.25">
      <c r="A1934" t="s">
        <v>676</v>
      </c>
      <c r="B1934" t="s">
        <v>49</v>
      </c>
      <c r="C1934" s="2">
        <f>HYPERLINK("https://cao.dolgi.msk.ru/account/1050624334/", 1050624334)</f>
        <v>1050624334</v>
      </c>
      <c r="D1934" s="4">
        <v>225412.29</v>
      </c>
      <c r="E1934">
        <v>36.06</v>
      </c>
    </row>
    <row r="1935" spans="1:5" x14ac:dyDescent="0.25">
      <c r="A1935" t="s">
        <v>677</v>
      </c>
      <c r="B1935" t="s">
        <v>40</v>
      </c>
      <c r="C1935" s="2">
        <f>HYPERLINK("https://cao.dolgi.msk.ru/account/1050635711/", 1050635711)</f>
        <v>1050635711</v>
      </c>
      <c r="D1935" s="4">
        <v>12597.31</v>
      </c>
      <c r="E1935">
        <v>1.99</v>
      </c>
    </row>
    <row r="1936" spans="1:5" x14ac:dyDescent="0.25">
      <c r="A1936" t="s">
        <v>677</v>
      </c>
      <c r="B1936" t="s">
        <v>54</v>
      </c>
      <c r="C1936" s="2">
        <f>HYPERLINK("https://cao.dolgi.msk.ru/account/1050635914/", 1050635914)</f>
        <v>1050635914</v>
      </c>
      <c r="D1936" s="4">
        <v>17020.759999999998</v>
      </c>
      <c r="E1936">
        <v>3.87</v>
      </c>
    </row>
    <row r="1937" spans="1:5" x14ac:dyDescent="0.25">
      <c r="A1937" t="s">
        <v>677</v>
      </c>
      <c r="B1937" t="s">
        <v>56</v>
      </c>
      <c r="C1937" s="2">
        <f>HYPERLINK("https://cao.dolgi.msk.ru/account/1050635949/", 1050635949)</f>
        <v>1050635949</v>
      </c>
      <c r="D1937" s="4">
        <v>14196.66</v>
      </c>
      <c r="E1937">
        <v>2</v>
      </c>
    </row>
    <row r="1938" spans="1:5" x14ac:dyDescent="0.25">
      <c r="A1938" t="s">
        <v>677</v>
      </c>
      <c r="B1938" t="s">
        <v>69</v>
      </c>
      <c r="C1938" s="2">
        <f>HYPERLINK("https://cao.dolgi.msk.ru/account/1050636108/", 1050636108)</f>
        <v>1050636108</v>
      </c>
      <c r="D1938" s="4">
        <v>5358.97</v>
      </c>
      <c r="E1938">
        <v>1.37</v>
      </c>
    </row>
    <row r="1939" spans="1:5" x14ac:dyDescent="0.25">
      <c r="A1939" t="s">
        <v>677</v>
      </c>
      <c r="B1939" t="s">
        <v>102</v>
      </c>
      <c r="C1939" s="2">
        <f>HYPERLINK("https://cao.dolgi.msk.ru/account/1050636466/", 1050636466)</f>
        <v>1050636466</v>
      </c>
      <c r="D1939" s="4">
        <v>23240.11</v>
      </c>
      <c r="E1939">
        <v>3.09</v>
      </c>
    </row>
    <row r="1940" spans="1:5" x14ac:dyDescent="0.25">
      <c r="A1940" t="s">
        <v>677</v>
      </c>
      <c r="B1940" t="s">
        <v>135</v>
      </c>
      <c r="C1940" s="2">
        <f>HYPERLINK("https://cao.dolgi.msk.ru/account/1050633732/", 1050633732)</f>
        <v>1050633732</v>
      </c>
      <c r="D1940" s="4">
        <v>9615.61</v>
      </c>
      <c r="E1940">
        <v>1.35</v>
      </c>
    </row>
    <row r="1941" spans="1:5" x14ac:dyDescent="0.25">
      <c r="A1941" t="s">
        <v>677</v>
      </c>
      <c r="B1941" t="s">
        <v>143</v>
      </c>
      <c r="C1941" s="2">
        <f>HYPERLINK("https://cao.dolgi.msk.ru/account/1050633804/", 1050633804)</f>
        <v>1050633804</v>
      </c>
      <c r="D1941" s="4">
        <v>11412.48</v>
      </c>
      <c r="E1941">
        <v>2.89</v>
      </c>
    </row>
    <row r="1942" spans="1:5" x14ac:dyDescent="0.25">
      <c r="A1942" t="s">
        <v>677</v>
      </c>
      <c r="B1942" t="s">
        <v>150</v>
      </c>
      <c r="C1942" s="2">
        <f>HYPERLINK("https://cao.dolgi.msk.ru/account/1050633898/", 1050633898)</f>
        <v>1050633898</v>
      </c>
      <c r="D1942" s="4">
        <v>185090.3</v>
      </c>
      <c r="E1942">
        <v>22.72</v>
      </c>
    </row>
    <row r="1943" spans="1:5" x14ac:dyDescent="0.25">
      <c r="A1943" t="s">
        <v>677</v>
      </c>
      <c r="B1943" t="s">
        <v>152</v>
      </c>
      <c r="C1943" s="2">
        <f>HYPERLINK("https://cao.dolgi.msk.ru/account/1050633927/", 1050633927)</f>
        <v>1050633927</v>
      </c>
      <c r="D1943" s="4">
        <v>7144.01</v>
      </c>
      <c r="E1943">
        <v>1.95</v>
      </c>
    </row>
    <row r="1944" spans="1:5" x14ac:dyDescent="0.25">
      <c r="A1944" t="s">
        <v>677</v>
      </c>
      <c r="B1944" t="s">
        <v>162</v>
      </c>
      <c r="C1944" s="2">
        <f>HYPERLINK("https://cao.dolgi.msk.ru/account/1058123809/", 1058123809)</f>
        <v>1058123809</v>
      </c>
      <c r="D1944" s="4">
        <v>14928.41</v>
      </c>
      <c r="E1944">
        <v>3.21</v>
      </c>
    </row>
    <row r="1945" spans="1:5" x14ac:dyDescent="0.25">
      <c r="A1945" t="s">
        <v>677</v>
      </c>
      <c r="B1945" t="s">
        <v>165</v>
      </c>
      <c r="C1945" s="2">
        <f>HYPERLINK("https://cao.dolgi.msk.ru/account/1050634145/", 1050634145)</f>
        <v>1050634145</v>
      </c>
      <c r="D1945" s="4">
        <v>13208.29</v>
      </c>
      <c r="E1945">
        <v>1.98</v>
      </c>
    </row>
    <row r="1946" spans="1:5" x14ac:dyDescent="0.25">
      <c r="A1946" t="s">
        <v>677</v>
      </c>
      <c r="B1946" t="s">
        <v>189</v>
      </c>
      <c r="C1946" s="2">
        <f>HYPERLINK("https://cao.dolgi.msk.ru/account/1050634508/", 1050634508)</f>
        <v>1050634508</v>
      </c>
      <c r="D1946" s="4">
        <v>5948.85</v>
      </c>
      <c r="E1946">
        <v>1.01</v>
      </c>
    </row>
    <row r="1947" spans="1:5" x14ac:dyDescent="0.25">
      <c r="A1947" t="s">
        <v>677</v>
      </c>
      <c r="B1947" t="s">
        <v>204</v>
      </c>
      <c r="C1947" s="2">
        <f>HYPERLINK("https://cao.dolgi.msk.ru/account/1050634794/", 1050634794)</f>
        <v>1050634794</v>
      </c>
      <c r="D1947" s="4">
        <v>16899.689999999999</v>
      </c>
      <c r="E1947">
        <v>3.03</v>
      </c>
    </row>
    <row r="1948" spans="1:5" x14ac:dyDescent="0.25">
      <c r="A1948" t="s">
        <v>677</v>
      </c>
      <c r="B1948" t="s">
        <v>280</v>
      </c>
      <c r="C1948" s="2">
        <f>HYPERLINK("https://cao.dolgi.msk.ru/account/1050635105/", 1050635105)</f>
        <v>1050635105</v>
      </c>
      <c r="D1948" s="4">
        <v>11462.55</v>
      </c>
      <c r="E1948">
        <v>1.72</v>
      </c>
    </row>
    <row r="1949" spans="1:5" x14ac:dyDescent="0.25">
      <c r="A1949" t="s">
        <v>678</v>
      </c>
      <c r="B1949" t="s">
        <v>34</v>
      </c>
      <c r="C1949" s="2">
        <f>HYPERLINK("https://cao.dolgi.msk.ru/account/1050639552/", 1050639552)</f>
        <v>1050639552</v>
      </c>
      <c r="D1949" s="4">
        <v>6178.01</v>
      </c>
      <c r="E1949">
        <v>1.93</v>
      </c>
    </row>
    <row r="1950" spans="1:5" x14ac:dyDescent="0.25">
      <c r="A1950" t="s">
        <v>678</v>
      </c>
      <c r="B1950" t="s">
        <v>72</v>
      </c>
      <c r="C1950" s="2">
        <f>HYPERLINK("https://cao.dolgi.msk.ru/account/1050640043/", 1050640043)</f>
        <v>1050640043</v>
      </c>
      <c r="D1950" s="4">
        <v>10395.17</v>
      </c>
      <c r="E1950">
        <v>1.99</v>
      </c>
    </row>
    <row r="1951" spans="1:5" x14ac:dyDescent="0.25">
      <c r="A1951" t="s">
        <v>678</v>
      </c>
      <c r="B1951" t="s">
        <v>113</v>
      </c>
      <c r="C1951" s="2">
        <f>HYPERLINK("https://cao.dolgi.msk.ru/account/1050640502/", 1050640502)</f>
        <v>1050640502</v>
      </c>
      <c r="D1951" s="4">
        <v>15787.79</v>
      </c>
      <c r="E1951">
        <v>2.69</v>
      </c>
    </row>
    <row r="1952" spans="1:5" x14ac:dyDescent="0.25">
      <c r="A1952" t="s">
        <v>678</v>
      </c>
      <c r="B1952" t="s">
        <v>116</v>
      </c>
      <c r="C1952" s="2">
        <f>HYPERLINK("https://cao.dolgi.msk.ru/account/1050640545/", 1050640545)</f>
        <v>1050640545</v>
      </c>
      <c r="D1952" s="4">
        <v>28465.93</v>
      </c>
      <c r="E1952">
        <v>2.87</v>
      </c>
    </row>
    <row r="1953" spans="1:5" x14ac:dyDescent="0.25">
      <c r="A1953" t="s">
        <v>678</v>
      </c>
      <c r="B1953" t="s">
        <v>138</v>
      </c>
      <c r="C1953" s="2">
        <f>HYPERLINK("https://cao.dolgi.msk.ru/account/1050640801/", 1050640801)</f>
        <v>1050640801</v>
      </c>
      <c r="D1953" s="4">
        <v>57164.49</v>
      </c>
      <c r="E1953">
        <v>18.41</v>
      </c>
    </row>
    <row r="1954" spans="1:5" x14ac:dyDescent="0.25">
      <c r="A1954" t="s">
        <v>678</v>
      </c>
      <c r="B1954" t="s">
        <v>142</v>
      </c>
      <c r="C1954" s="2">
        <f>HYPERLINK("https://cao.dolgi.msk.ru/account/1050640852/", 1050640852)</f>
        <v>1050640852</v>
      </c>
      <c r="D1954" s="4">
        <v>42640.82</v>
      </c>
      <c r="E1954">
        <v>17.399999999999999</v>
      </c>
    </row>
    <row r="1955" spans="1:5" x14ac:dyDescent="0.25">
      <c r="A1955" t="s">
        <v>679</v>
      </c>
      <c r="B1955" t="s">
        <v>29</v>
      </c>
      <c r="C1955" s="2">
        <f>HYPERLINK("https://cao.dolgi.msk.ru/account/1050625513/", 1050625513)</f>
        <v>1050625513</v>
      </c>
      <c r="D1955" s="4">
        <v>8150.15</v>
      </c>
      <c r="E1955">
        <v>1.26</v>
      </c>
    </row>
    <row r="1956" spans="1:5" x14ac:dyDescent="0.25">
      <c r="A1956" t="s">
        <v>679</v>
      </c>
      <c r="B1956" t="s">
        <v>39</v>
      </c>
      <c r="C1956" s="2">
        <f>HYPERLINK("https://cao.dolgi.msk.ru/account/1050625644/", 1050625644)</f>
        <v>1050625644</v>
      </c>
      <c r="D1956" s="4">
        <v>237025.72</v>
      </c>
      <c r="E1956">
        <v>39.94</v>
      </c>
    </row>
    <row r="1957" spans="1:5" x14ac:dyDescent="0.25">
      <c r="A1957" t="s">
        <v>679</v>
      </c>
      <c r="B1957" t="s">
        <v>46</v>
      </c>
      <c r="C1957" s="2">
        <f>HYPERLINK("https://cao.dolgi.msk.ru/account/1050625724/", 1050625724)</f>
        <v>1050625724</v>
      </c>
      <c r="D1957" s="4">
        <v>6331.88</v>
      </c>
      <c r="E1957">
        <v>1.61</v>
      </c>
    </row>
    <row r="1958" spans="1:5" x14ac:dyDescent="0.25">
      <c r="A1958" t="s">
        <v>679</v>
      </c>
      <c r="B1958" t="s">
        <v>59</v>
      </c>
      <c r="C1958" s="2">
        <f>HYPERLINK("https://cao.dolgi.msk.ru/account/1050625919/", 1050625919)</f>
        <v>1050625919</v>
      </c>
      <c r="D1958" s="4">
        <v>9918.0499999999993</v>
      </c>
      <c r="E1958">
        <v>1.82</v>
      </c>
    </row>
    <row r="1959" spans="1:5" x14ac:dyDescent="0.25">
      <c r="A1959" t="s">
        <v>679</v>
      </c>
      <c r="B1959" t="s">
        <v>66</v>
      </c>
      <c r="C1959" s="2">
        <f>HYPERLINK("https://cao.dolgi.msk.ru/account/1050625994/", 1050625994)</f>
        <v>1050625994</v>
      </c>
      <c r="D1959" s="4">
        <v>20815.349999999999</v>
      </c>
      <c r="E1959">
        <v>4.1500000000000004</v>
      </c>
    </row>
    <row r="1960" spans="1:5" x14ac:dyDescent="0.25">
      <c r="A1960" t="s">
        <v>679</v>
      </c>
      <c r="B1960" t="s">
        <v>106</v>
      </c>
      <c r="C1960" s="2">
        <f>HYPERLINK("https://cao.dolgi.msk.ru/account/1050626428/", 1050626428)</f>
        <v>1050626428</v>
      </c>
      <c r="D1960" s="4">
        <v>12869.94</v>
      </c>
      <c r="E1960">
        <v>1.96</v>
      </c>
    </row>
    <row r="1961" spans="1:5" x14ac:dyDescent="0.25">
      <c r="A1961" t="s">
        <v>679</v>
      </c>
      <c r="B1961" t="s">
        <v>116</v>
      </c>
      <c r="C1961" s="2">
        <f>HYPERLINK("https://cao.dolgi.msk.ru/account/1058091624/", 1058091624)</f>
        <v>1058091624</v>
      </c>
      <c r="D1961" s="4">
        <v>15349.56</v>
      </c>
      <c r="E1961">
        <v>1.95</v>
      </c>
    </row>
    <row r="1962" spans="1:5" x14ac:dyDescent="0.25">
      <c r="A1962" t="s">
        <v>679</v>
      </c>
      <c r="B1962" t="s">
        <v>132</v>
      </c>
      <c r="C1962" s="2">
        <f>HYPERLINK("https://cao.dolgi.msk.ru/account/1050626751/", 1050626751)</f>
        <v>1050626751</v>
      </c>
      <c r="D1962" s="4">
        <v>5001.1000000000004</v>
      </c>
      <c r="E1962">
        <v>1.42</v>
      </c>
    </row>
    <row r="1963" spans="1:5" x14ac:dyDescent="0.25">
      <c r="A1963" t="s">
        <v>680</v>
      </c>
      <c r="B1963" t="s">
        <v>10</v>
      </c>
      <c r="C1963" s="2">
        <f>HYPERLINK("https://cao.dolgi.msk.ru/account/1058106953/", 1058106953)</f>
        <v>1058106953</v>
      </c>
      <c r="D1963" s="4">
        <v>6400.64</v>
      </c>
      <c r="E1963">
        <v>1.97</v>
      </c>
    </row>
    <row r="1964" spans="1:5" x14ac:dyDescent="0.25">
      <c r="A1964" t="s">
        <v>680</v>
      </c>
      <c r="B1964" t="s">
        <v>26</v>
      </c>
      <c r="C1964" s="2">
        <f>HYPERLINK("https://cao.dolgi.msk.ru/account/1050613766/", 1050613766)</f>
        <v>1050613766</v>
      </c>
      <c r="D1964" s="4">
        <v>17129.45</v>
      </c>
      <c r="E1964">
        <v>2.99</v>
      </c>
    </row>
    <row r="1965" spans="1:5" x14ac:dyDescent="0.25">
      <c r="A1965" t="s">
        <v>680</v>
      </c>
      <c r="B1965" t="s">
        <v>46</v>
      </c>
      <c r="C1965" s="2">
        <f>HYPERLINK("https://cao.dolgi.msk.ru/account/1050614013/", 1050614013)</f>
        <v>1050614013</v>
      </c>
      <c r="D1965" s="4">
        <v>8216.77</v>
      </c>
      <c r="E1965">
        <v>1.0900000000000001</v>
      </c>
    </row>
    <row r="1966" spans="1:5" x14ac:dyDescent="0.25">
      <c r="A1966" t="s">
        <v>680</v>
      </c>
      <c r="B1966" t="s">
        <v>95</v>
      </c>
      <c r="C1966" s="2">
        <f>HYPERLINK("https://cao.dolgi.msk.ru/account/1050614056/", 1050614056)</f>
        <v>1050614056</v>
      </c>
      <c r="D1966" s="4">
        <v>15517.87</v>
      </c>
      <c r="E1966">
        <v>4.28</v>
      </c>
    </row>
    <row r="1967" spans="1:5" x14ac:dyDescent="0.25">
      <c r="A1967" t="s">
        <v>680</v>
      </c>
      <c r="B1967" t="s">
        <v>54</v>
      </c>
      <c r="C1967" s="2">
        <f>HYPERLINK("https://cao.dolgi.msk.ru/account/1050614152/", 1050614152)</f>
        <v>1050614152</v>
      </c>
      <c r="D1967" s="4">
        <v>8218.7099999999991</v>
      </c>
      <c r="E1967">
        <v>1.98</v>
      </c>
    </row>
    <row r="1968" spans="1:5" x14ac:dyDescent="0.25">
      <c r="A1968" t="s">
        <v>680</v>
      </c>
      <c r="B1968" t="s">
        <v>62</v>
      </c>
      <c r="C1968" s="2">
        <f>HYPERLINK("https://cao.dolgi.msk.ru/account/1050614259/", 1050614259)</f>
        <v>1050614259</v>
      </c>
      <c r="D1968" s="4">
        <v>9218</v>
      </c>
      <c r="E1968">
        <v>2</v>
      </c>
    </row>
    <row r="1969" spans="1:5" x14ac:dyDescent="0.25">
      <c r="A1969" t="s">
        <v>681</v>
      </c>
      <c r="B1969" t="s">
        <v>17</v>
      </c>
      <c r="C1969" s="2">
        <f>HYPERLINK("https://cao.dolgi.msk.ru/account/1050620667/", 1050620667)</f>
        <v>1050620667</v>
      </c>
      <c r="D1969" s="4">
        <v>5687.2</v>
      </c>
      <c r="E1969">
        <v>1.05</v>
      </c>
    </row>
    <row r="1970" spans="1:5" x14ac:dyDescent="0.25">
      <c r="A1970" t="s">
        <v>681</v>
      </c>
      <c r="B1970" t="s">
        <v>31</v>
      </c>
      <c r="C1970" s="2">
        <f>HYPERLINK("https://cao.dolgi.msk.ru/account/1050620878/", 1050620878)</f>
        <v>1050620878</v>
      </c>
      <c r="D1970" s="4">
        <v>10779.16</v>
      </c>
      <c r="E1970">
        <v>2.17</v>
      </c>
    </row>
    <row r="1971" spans="1:5" x14ac:dyDescent="0.25">
      <c r="A1971" t="s">
        <v>681</v>
      </c>
      <c r="B1971" t="s">
        <v>32</v>
      </c>
      <c r="C1971" s="2">
        <f>HYPERLINK("https://cao.dolgi.msk.ru/account/1050620886/", 1050620886)</f>
        <v>1050620886</v>
      </c>
      <c r="D1971" s="4">
        <v>5543.59</v>
      </c>
      <c r="E1971">
        <v>2.37</v>
      </c>
    </row>
    <row r="1972" spans="1:5" x14ac:dyDescent="0.25">
      <c r="A1972" t="s">
        <v>681</v>
      </c>
      <c r="B1972" t="s">
        <v>34</v>
      </c>
      <c r="C1972" s="2">
        <f>HYPERLINK("https://cao.dolgi.msk.ru/account/1050620907/", 1050620907)</f>
        <v>1050620907</v>
      </c>
      <c r="D1972" s="4">
        <v>243206.71</v>
      </c>
      <c r="E1972">
        <v>34.67</v>
      </c>
    </row>
    <row r="1973" spans="1:5" x14ac:dyDescent="0.25">
      <c r="A1973" t="s">
        <v>681</v>
      </c>
      <c r="B1973" t="s">
        <v>48</v>
      </c>
      <c r="C1973" s="2">
        <f>HYPERLINK("https://cao.dolgi.msk.ru/account/1050621117/", 1050621117)</f>
        <v>1050621117</v>
      </c>
      <c r="D1973" s="4">
        <v>34117.11</v>
      </c>
      <c r="E1973">
        <v>8.3000000000000007</v>
      </c>
    </row>
    <row r="1974" spans="1:5" x14ac:dyDescent="0.25">
      <c r="A1974" t="s">
        <v>681</v>
      </c>
      <c r="B1974" t="s">
        <v>62</v>
      </c>
      <c r="C1974" s="2">
        <f>HYPERLINK("https://cao.dolgi.msk.ru/account/1050621272/", 1050621272)</f>
        <v>1050621272</v>
      </c>
      <c r="D1974" s="4">
        <v>112826.89</v>
      </c>
      <c r="E1974">
        <v>19.100000000000001</v>
      </c>
    </row>
    <row r="1975" spans="1:5" x14ac:dyDescent="0.25">
      <c r="A1975" t="s">
        <v>681</v>
      </c>
      <c r="B1975" t="s">
        <v>71</v>
      </c>
      <c r="C1975" s="2">
        <f>HYPERLINK("https://cao.dolgi.msk.ru/account/1058144183/", 1058144183)</f>
        <v>1058144183</v>
      </c>
      <c r="D1975" s="4">
        <v>7203.75</v>
      </c>
      <c r="E1975">
        <v>2.2599999999999998</v>
      </c>
    </row>
    <row r="1976" spans="1:5" x14ac:dyDescent="0.25">
      <c r="A1976" t="s">
        <v>682</v>
      </c>
      <c r="B1976" t="s">
        <v>22</v>
      </c>
      <c r="C1976" s="2">
        <f>HYPERLINK("https://cao.dolgi.msk.ru/account/1050627009/", 1050627009)</f>
        <v>1050627009</v>
      </c>
      <c r="D1976" s="4">
        <v>10294.56</v>
      </c>
      <c r="E1976">
        <v>1.92</v>
      </c>
    </row>
    <row r="1977" spans="1:5" x14ac:dyDescent="0.25">
      <c r="A1977" t="s">
        <v>682</v>
      </c>
      <c r="B1977" t="s">
        <v>44</v>
      </c>
      <c r="C1977" s="2">
        <f>HYPERLINK("https://cao.dolgi.msk.ru/account/1050627252/", 1050627252)</f>
        <v>1050627252</v>
      </c>
      <c r="D1977" s="4">
        <v>7432.95</v>
      </c>
      <c r="E1977">
        <v>1.55</v>
      </c>
    </row>
    <row r="1978" spans="1:5" x14ac:dyDescent="0.25">
      <c r="A1978" t="s">
        <v>683</v>
      </c>
      <c r="B1978" t="s">
        <v>23</v>
      </c>
      <c r="C1978" s="2">
        <f>HYPERLINK("https://cao.dolgi.msk.ru/account/1050641222/", 1050641222)</f>
        <v>1050641222</v>
      </c>
      <c r="D1978" s="4">
        <v>11693.57</v>
      </c>
      <c r="E1978">
        <v>1.86</v>
      </c>
    </row>
    <row r="1979" spans="1:5" x14ac:dyDescent="0.25">
      <c r="A1979" t="s">
        <v>683</v>
      </c>
      <c r="B1979" t="s">
        <v>31</v>
      </c>
      <c r="C1979" s="2">
        <f>HYPERLINK("https://cao.dolgi.msk.ru/account/1050641337/", 1050641337)</f>
        <v>1050641337</v>
      </c>
      <c r="D1979" s="4">
        <v>6707.81</v>
      </c>
      <c r="E1979">
        <v>2.0299999999999998</v>
      </c>
    </row>
    <row r="1980" spans="1:5" x14ac:dyDescent="0.25">
      <c r="A1980" t="s">
        <v>683</v>
      </c>
      <c r="B1980" t="s">
        <v>33</v>
      </c>
      <c r="C1980" s="2">
        <f>HYPERLINK("https://cao.dolgi.msk.ru/account/1050641353/", 1050641353)</f>
        <v>1050641353</v>
      </c>
      <c r="D1980" s="4">
        <v>8438.84</v>
      </c>
      <c r="E1980">
        <v>1.36</v>
      </c>
    </row>
    <row r="1981" spans="1:5" x14ac:dyDescent="0.25">
      <c r="A1981" t="s">
        <v>683</v>
      </c>
      <c r="B1981" t="s">
        <v>34</v>
      </c>
      <c r="C1981" s="2">
        <f>HYPERLINK("https://cao.dolgi.msk.ru/account/1050641361/", 1050641361)</f>
        <v>1050641361</v>
      </c>
      <c r="D1981" s="4">
        <v>5036.78</v>
      </c>
      <c r="E1981">
        <v>1.7</v>
      </c>
    </row>
    <row r="1982" spans="1:5" x14ac:dyDescent="0.25">
      <c r="A1982" t="s">
        <v>683</v>
      </c>
      <c r="B1982" t="s">
        <v>46</v>
      </c>
      <c r="C1982" s="2">
        <f>HYPERLINK("https://cao.dolgi.msk.ru/account/1050641556/", 1050641556)</f>
        <v>1050641556</v>
      </c>
      <c r="D1982" s="4">
        <v>10695.71</v>
      </c>
      <c r="E1982">
        <v>2</v>
      </c>
    </row>
    <row r="1983" spans="1:5" x14ac:dyDescent="0.25">
      <c r="A1983" t="s">
        <v>684</v>
      </c>
      <c r="B1983" t="s">
        <v>18</v>
      </c>
      <c r="C1983" s="2">
        <f>HYPERLINK("https://cao.dolgi.msk.ru/account/1050621715/", 1050621715)</f>
        <v>1050621715</v>
      </c>
      <c r="D1983" s="4">
        <v>10131.81</v>
      </c>
      <c r="E1983">
        <v>2.2400000000000002</v>
      </c>
    </row>
    <row r="1984" spans="1:5" x14ac:dyDescent="0.25">
      <c r="A1984" t="s">
        <v>684</v>
      </c>
      <c r="B1984" t="s">
        <v>35</v>
      </c>
      <c r="C1984" s="2">
        <f>HYPERLINK("https://cao.dolgi.msk.ru/account/1058130734/", 1058130734)</f>
        <v>1058130734</v>
      </c>
      <c r="D1984" s="4">
        <v>8339.2199999999993</v>
      </c>
      <c r="E1984">
        <v>2</v>
      </c>
    </row>
    <row r="1985" spans="1:5" x14ac:dyDescent="0.25">
      <c r="A1985" t="s">
        <v>684</v>
      </c>
      <c r="B1985" t="s">
        <v>38</v>
      </c>
      <c r="C1985" s="2">
        <f>HYPERLINK("https://cao.dolgi.msk.ru/account/1050621977/", 1050621977)</f>
        <v>1050621977</v>
      </c>
      <c r="D1985" s="4">
        <v>11202.48</v>
      </c>
      <c r="E1985">
        <v>2</v>
      </c>
    </row>
    <row r="1986" spans="1:5" x14ac:dyDescent="0.25">
      <c r="A1986" t="s">
        <v>684</v>
      </c>
      <c r="B1986" t="s">
        <v>39</v>
      </c>
      <c r="C1986" s="2">
        <f>HYPERLINK("https://cao.dolgi.msk.ru/account/1050621985/", 1050621985)</f>
        <v>1050621985</v>
      </c>
      <c r="D1986" s="4">
        <v>8469.77</v>
      </c>
      <c r="E1986">
        <v>1.92</v>
      </c>
    </row>
    <row r="1987" spans="1:5" x14ac:dyDescent="0.25">
      <c r="A1987" t="s">
        <v>684</v>
      </c>
      <c r="B1987" t="s">
        <v>52</v>
      </c>
      <c r="C1987" s="2">
        <f>HYPERLINK("https://cao.dolgi.msk.ru/account/1050622179/", 1050622179)</f>
        <v>1050622179</v>
      </c>
      <c r="D1987" s="4">
        <v>66050.27</v>
      </c>
      <c r="E1987">
        <v>15.64</v>
      </c>
    </row>
    <row r="1988" spans="1:5" x14ac:dyDescent="0.25">
      <c r="A1988" t="s">
        <v>685</v>
      </c>
      <c r="B1988" t="s">
        <v>17</v>
      </c>
      <c r="C1988" s="2">
        <f>HYPERLINK("https://cao.dolgi.msk.ru/account/1050628378/", 1050628378)</f>
        <v>1050628378</v>
      </c>
      <c r="D1988" s="4">
        <v>5056.59</v>
      </c>
      <c r="E1988">
        <v>1.03</v>
      </c>
    </row>
    <row r="1989" spans="1:5" x14ac:dyDescent="0.25">
      <c r="A1989" t="s">
        <v>685</v>
      </c>
      <c r="B1989" t="s">
        <v>24</v>
      </c>
      <c r="C1989" s="2">
        <f>HYPERLINK("https://cao.dolgi.msk.ru/account/1050628466/", 1050628466)</f>
        <v>1050628466</v>
      </c>
      <c r="D1989" s="4">
        <v>10241.74</v>
      </c>
      <c r="E1989">
        <v>1.83</v>
      </c>
    </row>
    <row r="1990" spans="1:5" x14ac:dyDescent="0.25">
      <c r="A1990" t="s">
        <v>685</v>
      </c>
      <c r="B1990" t="s">
        <v>30</v>
      </c>
      <c r="C1990" s="2">
        <f>HYPERLINK("https://cao.dolgi.msk.ru/account/1050628538/", 1050628538)</f>
        <v>1050628538</v>
      </c>
      <c r="D1990" s="4">
        <v>83997.19</v>
      </c>
      <c r="E1990">
        <v>16.48</v>
      </c>
    </row>
    <row r="1991" spans="1:5" x14ac:dyDescent="0.25">
      <c r="A1991" t="s">
        <v>685</v>
      </c>
      <c r="B1991" t="s">
        <v>40</v>
      </c>
      <c r="C1991" s="2">
        <f>HYPERLINK("https://cao.dolgi.msk.ru/account/1050628669/", 1050628669)</f>
        <v>1050628669</v>
      </c>
      <c r="D1991" s="4">
        <v>64101.24</v>
      </c>
      <c r="E1991">
        <v>17.29</v>
      </c>
    </row>
    <row r="1992" spans="1:5" x14ac:dyDescent="0.25">
      <c r="A1992" t="s">
        <v>685</v>
      </c>
      <c r="B1992" t="s">
        <v>56</v>
      </c>
      <c r="C1992" s="2">
        <f>HYPERLINK("https://cao.dolgi.msk.ru/account/1050628888/", 1050628888)</f>
        <v>1050628888</v>
      </c>
      <c r="D1992" s="4">
        <v>13726.13</v>
      </c>
      <c r="E1992">
        <v>2.87</v>
      </c>
    </row>
    <row r="1993" spans="1:5" x14ac:dyDescent="0.25">
      <c r="A1993" t="s">
        <v>686</v>
      </c>
      <c r="B1993" t="s">
        <v>6</v>
      </c>
      <c r="C1993" s="2">
        <f>HYPERLINK("https://cao.dolgi.msk.ru/account/1050641628/", 1050641628)</f>
        <v>1050641628</v>
      </c>
      <c r="D1993" s="4">
        <v>78183.240000000005</v>
      </c>
      <c r="E1993">
        <v>16.27</v>
      </c>
    </row>
    <row r="1994" spans="1:5" x14ac:dyDescent="0.25">
      <c r="A1994" t="s">
        <v>686</v>
      </c>
      <c r="B1994" t="s">
        <v>9</v>
      </c>
      <c r="C1994" s="2">
        <f>HYPERLINK("https://cao.dolgi.msk.ru/account/1050641687/", 1050641687)</f>
        <v>1050641687</v>
      </c>
      <c r="D1994" s="4">
        <v>14120.14</v>
      </c>
      <c r="E1994">
        <v>2.08</v>
      </c>
    </row>
    <row r="1995" spans="1:5" x14ac:dyDescent="0.25">
      <c r="A1995" t="s">
        <v>686</v>
      </c>
      <c r="B1995" t="s">
        <v>12</v>
      </c>
      <c r="C1995" s="2">
        <f>HYPERLINK("https://cao.dolgi.msk.ru/account/1050641716/", 1050641716)</f>
        <v>1050641716</v>
      </c>
      <c r="D1995" s="4">
        <v>12422.88</v>
      </c>
      <c r="E1995">
        <v>1.91</v>
      </c>
    </row>
    <row r="1996" spans="1:5" x14ac:dyDescent="0.25">
      <c r="A1996" t="s">
        <v>686</v>
      </c>
      <c r="B1996" t="s">
        <v>13</v>
      </c>
      <c r="C1996" s="2">
        <f>HYPERLINK("https://cao.dolgi.msk.ru/account/1050641724/", 1050641724)</f>
        <v>1050641724</v>
      </c>
      <c r="D1996" s="4">
        <v>14350.92</v>
      </c>
      <c r="E1996">
        <v>2.99</v>
      </c>
    </row>
    <row r="1997" spans="1:5" x14ac:dyDescent="0.25">
      <c r="A1997" t="s">
        <v>686</v>
      </c>
      <c r="B1997" t="s">
        <v>17</v>
      </c>
      <c r="C1997" s="2">
        <f>HYPERLINK("https://cao.dolgi.msk.ru/account/1050641775/", 1050641775)</f>
        <v>1050641775</v>
      </c>
      <c r="D1997" s="4">
        <v>27624.05</v>
      </c>
      <c r="E1997">
        <v>2.98</v>
      </c>
    </row>
    <row r="1998" spans="1:5" x14ac:dyDescent="0.25">
      <c r="A1998" t="s">
        <v>686</v>
      </c>
      <c r="B1998" t="s">
        <v>26</v>
      </c>
      <c r="C1998" s="2">
        <f>HYPERLINK("https://cao.dolgi.msk.ru/account/1050641898/", 1050641898)</f>
        <v>1050641898</v>
      </c>
      <c r="D1998" s="4">
        <v>8162.6</v>
      </c>
      <c r="E1998">
        <v>1.93</v>
      </c>
    </row>
    <row r="1999" spans="1:5" x14ac:dyDescent="0.25">
      <c r="A1999" t="s">
        <v>686</v>
      </c>
      <c r="B1999" t="s">
        <v>35</v>
      </c>
      <c r="C1999" s="2">
        <f>HYPERLINK("https://cao.dolgi.msk.ru/account/1050642049/", 1050642049)</f>
        <v>1050642049</v>
      </c>
      <c r="D1999" s="4">
        <v>5555.79</v>
      </c>
      <c r="E1999">
        <v>1.02</v>
      </c>
    </row>
    <row r="2000" spans="1:5" x14ac:dyDescent="0.25">
      <c r="A2000" t="s">
        <v>686</v>
      </c>
      <c r="B2000" t="s">
        <v>43</v>
      </c>
      <c r="C2000" s="2">
        <f>HYPERLINK("https://cao.dolgi.msk.ru/account/1050642153/", 1050642153)</f>
        <v>1050642153</v>
      </c>
      <c r="D2000" s="4">
        <v>8019.61</v>
      </c>
      <c r="E2000">
        <v>1.94</v>
      </c>
    </row>
    <row r="2001" spans="1:5" x14ac:dyDescent="0.25">
      <c r="A2001" t="s">
        <v>686</v>
      </c>
      <c r="B2001" t="s">
        <v>49</v>
      </c>
      <c r="C2001" s="2">
        <f>HYPERLINK("https://cao.dolgi.msk.ru/account/1050642241/", 1050642241)</f>
        <v>1050642241</v>
      </c>
      <c r="D2001" s="4">
        <v>7867.02</v>
      </c>
      <c r="E2001">
        <v>1.01</v>
      </c>
    </row>
    <row r="2002" spans="1:5" x14ac:dyDescent="0.25">
      <c r="A2002" t="s">
        <v>687</v>
      </c>
      <c r="B2002" t="s">
        <v>10</v>
      </c>
      <c r="C2002" s="2">
        <f>HYPERLINK("https://cao.dolgi.msk.ru/account/1050647608/", 1050647608)</f>
        <v>1050647608</v>
      </c>
      <c r="D2002" s="4">
        <v>5847.51</v>
      </c>
      <c r="E2002">
        <v>1.48</v>
      </c>
    </row>
    <row r="2003" spans="1:5" x14ac:dyDescent="0.25">
      <c r="A2003" t="s">
        <v>687</v>
      </c>
      <c r="B2003" t="s">
        <v>13</v>
      </c>
      <c r="C2003" s="2">
        <f>HYPERLINK("https://cao.dolgi.msk.ru/account/1050647632/", 1050647632)</f>
        <v>1050647632</v>
      </c>
      <c r="D2003" s="4">
        <v>16734.18</v>
      </c>
      <c r="E2003">
        <v>2.97</v>
      </c>
    </row>
    <row r="2004" spans="1:5" x14ac:dyDescent="0.25">
      <c r="A2004" t="s">
        <v>687</v>
      </c>
      <c r="B2004" t="s">
        <v>20</v>
      </c>
      <c r="C2004" s="2">
        <f>HYPERLINK("https://cao.dolgi.msk.ru/account/1050647739/", 1050647739)</f>
        <v>1050647739</v>
      </c>
      <c r="D2004" s="4">
        <v>19646.04</v>
      </c>
      <c r="E2004">
        <v>9.77</v>
      </c>
    </row>
    <row r="2005" spans="1:5" x14ac:dyDescent="0.25">
      <c r="A2005" t="s">
        <v>687</v>
      </c>
      <c r="B2005" t="s">
        <v>31</v>
      </c>
      <c r="C2005" s="2">
        <f>HYPERLINK("https://cao.dolgi.msk.ru/account/1050647851/", 1050647851)</f>
        <v>1050647851</v>
      </c>
      <c r="D2005" s="4">
        <v>12623.35</v>
      </c>
      <c r="E2005">
        <v>1.98</v>
      </c>
    </row>
    <row r="2006" spans="1:5" x14ac:dyDescent="0.25">
      <c r="A2006" t="s">
        <v>687</v>
      </c>
      <c r="B2006" t="s">
        <v>34</v>
      </c>
      <c r="C2006" s="2">
        <f>HYPERLINK("https://cao.dolgi.msk.ru/account/1050647894/", 1050647894)</f>
        <v>1050647894</v>
      </c>
      <c r="D2006" s="4">
        <v>21904.95</v>
      </c>
      <c r="E2006">
        <v>4.1500000000000004</v>
      </c>
    </row>
    <row r="2007" spans="1:5" x14ac:dyDescent="0.25">
      <c r="A2007" t="s">
        <v>687</v>
      </c>
      <c r="B2007" t="s">
        <v>46</v>
      </c>
      <c r="C2007" s="2">
        <f>HYPERLINK("https://cao.dolgi.msk.ru/account/1050648045/", 1050648045)</f>
        <v>1050648045</v>
      </c>
      <c r="D2007" s="4">
        <v>14801.62</v>
      </c>
      <c r="E2007">
        <v>2.0499999999999998</v>
      </c>
    </row>
    <row r="2008" spans="1:5" x14ac:dyDescent="0.25">
      <c r="A2008" t="s">
        <v>688</v>
      </c>
      <c r="B2008" t="s">
        <v>45</v>
      </c>
      <c r="C2008" s="2">
        <f>HYPERLINK("https://cao.dolgi.msk.ru/account/1050612771/", 1050612771)</f>
        <v>1050612771</v>
      </c>
      <c r="D2008" s="4">
        <v>9985.9599999999991</v>
      </c>
      <c r="E2008">
        <v>1.9</v>
      </c>
    </row>
    <row r="2009" spans="1:5" x14ac:dyDescent="0.25">
      <c r="A2009" t="s">
        <v>689</v>
      </c>
      <c r="B2009" t="s">
        <v>14</v>
      </c>
      <c r="C2009" s="2">
        <f>HYPERLINK("https://cao.dolgi.msk.ru/account/1050614419/", 1050614419)</f>
        <v>1050614419</v>
      </c>
      <c r="D2009" s="4">
        <v>14643.92</v>
      </c>
      <c r="E2009">
        <v>2.35</v>
      </c>
    </row>
    <row r="2010" spans="1:5" x14ac:dyDescent="0.25">
      <c r="A2010" t="s">
        <v>689</v>
      </c>
      <c r="B2010" t="s">
        <v>23</v>
      </c>
      <c r="C2010" s="2">
        <f>HYPERLINK("https://cao.dolgi.msk.ru/account/1050614582/", 1050614582)</f>
        <v>1050614582</v>
      </c>
      <c r="D2010" s="4">
        <v>21742.6</v>
      </c>
      <c r="E2010">
        <v>3.56</v>
      </c>
    </row>
    <row r="2011" spans="1:5" x14ac:dyDescent="0.25">
      <c r="A2011" t="s">
        <v>689</v>
      </c>
      <c r="B2011" t="s">
        <v>30</v>
      </c>
      <c r="C2011" s="2">
        <f>HYPERLINK("https://cao.dolgi.msk.ru/account/1058028297/", 1058028297)</f>
        <v>1058028297</v>
      </c>
      <c r="D2011" s="4">
        <v>14205.73</v>
      </c>
      <c r="E2011">
        <v>1.92</v>
      </c>
    </row>
    <row r="2012" spans="1:5" x14ac:dyDescent="0.25">
      <c r="A2012" t="s">
        <v>690</v>
      </c>
      <c r="B2012" t="s">
        <v>7</v>
      </c>
      <c r="C2012" s="2">
        <f>HYPERLINK("https://cao.dolgi.msk.ru/account/1050628984/", 1050628984)</f>
        <v>1050628984</v>
      </c>
      <c r="D2012" s="4">
        <v>22428.21</v>
      </c>
      <c r="E2012">
        <v>1.76</v>
      </c>
    </row>
    <row r="2013" spans="1:5" x14ac:dyDescent="0.25">
      <c r="A2013" t="s">
        <v>690</v>
      </c>
      <c r="B2013" t="s">
        <v>19</v>
      </c>
      <c r="C2013" s="2">
        <f>HYPERLINK("https://cao.dolgi.msk.ru/account/1050629143/", 1050629143)</f>
        <v>1050629143</v>
      </c>
      <c r="D2013" s="4">
        <v>24526.16</v>
      </c>
      <c r="E2013">
        <v>4.21</v>
      </c>
    </row>
    <row r="2014" spans="1:5" x14ac:dyDescent="0.25">
      <c r="A2014" t="s">
        <v>690</v>
      </c>
      <c r="B2014" t="s">
        <v>20</v>
      </c>
      <c r="C2014" s="2">
        <f>HYPERLINK("https://cao.dolgi.msk.ru/account/1050629151/", 1050629151)</f>
        <v>1050629151</v>
      </c>
      <c r="D2014" s="4">
        <v>9558.34</v>
      </c>
      <c r="E2014">
        <v>2.02</v>
      </c>
    </row>
    <row r="2015" spans="1:5" x14ac:dyDescent="0.25">
      <c r="A2015" t="s">
        <v>690</v>
      </c>
      <c r="B2015" t="s">
        <v>50</v>
      </c>
      <c r="C2015" s="2">
        <f>HYPERLINK("https://cao.dolgi.msk.ru/account/1050629549/", 1050629549)</f>
        <v>1050629549</v>
      </c>
      <c r="D2015" s="4">
        <v>13065.7</v>
      </c>
      <c r="E2015">
        <v>2</v>
      </c>
    </row>
    <row r="2016" spans="1:5" x14ac:dyDescent="0.25">
      <c r="A2016" t="s">
        <v>690</v>
      </c>
      <c r="B2016" t="s">
        <v>54</v>
      </c>
      <c r="C2016" s="2">
        <f>HYPERLINK("https://cao.dolgi.msk.ru/account/1050629581/", 1050629581)</f>
        <v>1050629581</v>
      </c>
      <c r="D2016" s="4">
        <v>13369.21</v>
      </c>
      <c r="E2016">
        <v>2.2200000000000002</v>
      </c>
    </row>
    <row r="2017" spans="1:5" x14ac:dyDescent="0.25">
      <c r="A2017" t="s">
        <v>690</v>
      </c>
      <c r="B2017" t="s">
        <v>56</v>
      </c>
      <c r="C2017" s="2">
        <f>HYPERLINK("https://cao.dolgi.msk.ru/account/1050629629/", 1050629629)</f>
        <v>1050629629</v>
      </c>
      <c r="D2017" s="4">
        <v>9239.01</v>
      </c>
      <c r="E2017">
        <v>1.92</v>
      </c>
    </row>
    <row r="2018" spans="1:5" x14ac:dyDescent="0.25">
      <c r="A2018" t="s">
        <v>690</v>
      </c>
      <c r="B2018" t="s">
        <v>67</v>
      </c>
      <c r="C2018" s="2">
        <f>HYPERLINK("https://cao.dolgi.msk.ru/account/1050629741/", 1050629741)</f>
        <v>1050629741</v>
      </c>
      <c r="D2018" s="4">
        <v>7485.43</v>
      </c>
      <c r="E2018">
        <v>3.15</v>
      </c>
    </row>
    <row r="2019" spans="1:5" x14ac:dyDescent="0.25">
      <c r="A2019" t="s">
        <v>690</v>
      </c>
      <c r="B2019" t="s">
        <v>70</v>
      </c>
      <c r="C2019" s="2">
        <f>HYPERLINK("https://cao.dolgi.msk.ru/account/1050629784/", 1050629784)</f>
        <v>1050629784</v>
      </c>
      <c r="D2019" s="4">
        <v>7944.48</v>
      </c>
      <c r="E2019">
        <v>1.77</v>
      </c>
    </row>
    <row r="2020" spans="1:5" x14ac:dyDescent="0.25">
      <c r="A2020" t="s">
        <v>691</v>
      </c>
      <c r="B2020" t="s">
        <v>11</v>
      </c>
      <c r="C2020" s="2">
        <f>HYPERLINK("https://cao.dolgi.msk.ru/account/1050615032/", 1050615032)</f>
        <v>1050615032</v>
      </c>
      <c r="D2020" s="4">
        <v>14829.27</v>
      </c>
      <c r="E2020">
        <v>2.88</v>
      </c>
    </row>
    <row r="2021" spans="1:5" x14ac:dyDescent="0.25">
      <c r="A2021" t="s">
        <v>692</v>
      </c>
      <c r="B2021" t="s">
        <v>14</v>
      </c>
      <c r="C2021" s="2">
        <f>HYPERLINK("https://cao.dolgi.msk.ru/account/1050596409/", 1050596409)</f>
        <v>1050596409</v>
      </c>
      <c r="D2021" s="4">
        <v>5703.2</v>
      </c>
      <c r="E2021">
        <v>1.88</v>
      </c>
    </row>
    <row r="2022" spans="1:5" x14ac:dyDescent="0.25">
      <c r="A2022" t="s">
        <v>692</v>
      </c>
      <c r="B2022" t="s">
        <v>43</v>
      </c>
      <c r="C2022" s="2">
        <f>HYPERLINK("https://cao.dolgi.msk.ru/account/1050596759/", 1050596759)</f>
        <v>1050596759</v>
      </c>
      <c r="D2022" s="4">
        <v>62729.56</v>
      </c>
      <c r="E2022">
        <v>9.8000000000000007</v>
      </c>
    </row>
    <row r="2023" spans="1:5" x14ac:dyDescent="0.25">
      <c r="A2023" t="s">
        <v>692</v>
      </c>
      <c r="B2023" t="s">
        <v>52</v>
      </c>
      <c r="C2023" s="2">
        <f>HYPERLINK("https://cao.dolgi.msk.ru/account/1050596871/", 1050596871)</f>
        <v>1050596871</v>
      </c>
      <c r="D2023" s="4">
        <v>5097.25</v>
      </c>
      <c r="E2023">
        <v>1.61</v>
      </c>
    </row>
    <row r="2024" spans="1:5" x14ac:dyDescent="0.25">
      <c r="A2024" t="s">
        <v>693</v>
      </c>
      <c r="B2024" t="s">
        <v>13</v>
      </c>
      <c r="C2024" s="2">
        <f>HYPERLINK("https://cao.dolgi.msk.ru/account/1050597129/", 1050597129)</f>
        <v>1050597129</v>
      </c>
      <c r="D2024" s="4">
        <v>508097.55</v>
      </c>
      <c r="E2024">
        <v>102.22</v>
      </c>
    </row>
    <row r="2025" spans="1:5" x14ac:dyDescent="0.25">
      <c r="A2025" t="s">
        <v>693</v>
      </c>
      <c r="B2025" t="s">
        <v>28</v>
      </c>
      <c r="C2025" s="2">
        <f>HYPERLINK("https://cao.dolgi.msk.ru/account/1050597292/", 1050597292)</f>
        <v>1050597292</v>
      </c>
      <c r="D2025" s="4">
        <v>54879.03</v>
      </c>
      <c r="E2025">
        <v>7.67</v>
      </c>
    </row>
    <row r="2026" spans="1:5" x14ac:dyDescent="0.25">
      <c r="A2026" t="s">
        <v>693</v>
      </c>
      <c r="B2026" t="s">
        <v>29</v>
      </c>
      <c r="C2026" s="2">
        <f>HYPERLINK("https://cao.dolgi.msk.ru/account/1050597305/", 1050597305)</f>
        <v>1050597305</v>
      </c>
      <c r="D2026" s="4">
        <v>64565.919999999998</v>
      </c>
      <c r="E2026">
        <v>15.32</v>
      </c>
    </row>
    <row r="2027" spans="1:5" x14ac:dyDescent="0.25">
      <c r="A2027" t="s">
        <v>693</v>
      </c>
      <c r="B2027" t="s">
        <v>82</v>
      </c>
      <c r="C2027" s="2">
        <f>HYPERLINK("https://cao.dolgi.msk.ru/account/1058136319/", 1058136319)</f>
        <v>1058136319</v>
      </c>
      <c r="D2027" s="4">
        <v>13585.23</v>
      </c>
      <c r="E2027">
        <v>3.29</v>
      </c>
    </row>
    <row r="2028" spans="1:5" x14ac:dyDescent="0.25">
      <c r="A2028" t="s">
        <v>693</v>
      </c>
      <c r="B2028" t="s">
        <v>83</v>
      </c>
      <c r="C2028" s="2">
        <f>HYPERLINK("https://cao.dolgi.msk.ru/account/1050597997/", 1050597997)</f>
        <v>1050597997</v>
      </c>
      <c r="D2028" s="4">
        <v>218245.4</v>
      </c>
      <c r="E2028">
        <v>36.97</v>
      </c>
    </row>
    <row r="2029" spans="1:5" x14ac:dyDescent="0.25">
      <c r="A2029" t="s">
        <v>694</v>
      </c>
      <c r="B2029" t="s">
        <v>11</v>
      </c>
      <c r="C2029" s="2">
        <f>HYPERLINK("https://cao.dolgi.msk.ru/account/1050630611/", 1050630611)</f>
        <v>1050630611</v>
      </c>
      <c r="D2029" s="4">
        <v>12822.1</v>
      </c>
      <c r="E2029">
        <v>1.75</v>
      </c>
    </row>
    <row r="2030" spans="1:5" x14ac:dyDescent="0.25">
      <c r="A2030" t="s">
        <v>694</v>
      </c>
      <c r="B2030" t="s">
        <v>30</v>
      </c>
      <c r="C2030" s="2">
        <f>HYPERLINK("https://cao.dolgi.msk.ru/account/1050630937/", 1050630937)</f>
        <v>1050630937</v>
      </c>
      <c r="D2030" s="4">
        <v>32266.73</v>
      </c>
      <c r="E2030">
        <v>3.12</v>
      </c>
    </row>
    <row r="2031" spans="1:5" x14ac:dyDescent="0.25">
      <c r="A2031" t="s">
        <v>694</v>
      </c>
      <c r="B2031" t="s">
        <v>46</v>
      </c>
      <c r="C2031" s="2">
        <f>HYPERLINK("https://cao.dolgi.msk.ru/account/1050631163/", 1050631163)</f>
        <v>1050631163</v>
      </c>
      <c r="D2031" s="4">
        <v>216872.41</v>
      </c>
      <c r="E2031">
        <v>46</v>
      </c>
    </row>
    <row r="2032" spans="1:5" x14ac:dyDescent="0.25">
      <c r="A2032" t="s">
        <v>694</v>
      </c>
      <c r="B2032" t="s">
        <v>48</v>
      </c>
      <c r="C2032" s="2">
        <f>HYPERLINK("https://cao.dolgi.msk.ru/account/1050631227/", 1050631227)</f>
        <v>1050631227</v>
      </c>
      <c r="D2032" s="4">
        <v>6382.45</v>
      </c>
      <c r="E2032">
        <v>1.19</v>
      </c>
    </row>
    <row r="2033" spans="1:5" x14ac:dyDescent="0.25">
      <c r="A2033" t="s">
        <v>695</v>
      </c>
      <c r="B2033" t="s">
        <v>19</v>
      </c>
      <c r="C2033" s="2">
        <f>HYPERLINK("https://cao.dolgi.msk.ru/account/1050633249/", 1050633249)</f>
        <v>1050633249</v>
      </c>
      <c r="D2033" s="4">
        <v>46560.86</v>
      </c>
      <c r="E2033">
        <v>8</v>
      </c>
    </row>
    <row r="2034" spans="1:5" x14ac:dyDescent="0.25">
      <c r="A2034" t="s">
        <v>695</v>
      </c>
      <c r="B2034" t="s">
        <v>31</v>
      </c>
      <c r="C2034" s="2">
        <f>HYPERLINK("https://cao.dolgi.msk.ru/account/1050633433/", 1050633433)</f>
        <v>1050633433</v>
      </c>
      <c r="D2034" s="4">
        <v>10306.74</v>
      </c>
      <c r="E2034">
        <v>1.25</v>
      </c>
    </row>
    <row r="2035" spans="1:5" x14ac:dyDescent="0.25">
      <c r="A2035" t="s">
        <v>695</v>
      </c>
      <c r="B2035" t="s">
        <v>39</v>
      </c>
      <c r="C2035" s="2">
        <f>HYPERLINK("https://cao.dolgi.msk.ru/account/1050633556/", 1050633556)</f>
        <v>1050633556</v>
      </c>
      <c r="D2035" s="4">
        <v>20279.12</v>
      </c>
      <c r="E2035">
        <v>4</v>
      </c>
    </row>
    <row r="2036" spans="1:5" x14ac:dyDescent="0.25">
      <c r="A2036" t="s">
        <v>695</v>
      </c>
      <c r="B2036" t="s">
        <v>41</v>
      </c>
      <c r="C2036" s="2">
        <f>HYPERLINK("https://cao.dolgi.msk.ru/account/1050633572/", 1050633572)</f>
        <v>1050633572</v>
      </c>
      <c r="D2036" s="4">
        <v>9349.7099999999991</v>
      </c>
      <c r="E2036">
        <v>1.93</v>
      </c>
    </row>
    <row r="2037" spans="1:5" x14ac:dyDescent="0.25">
      <c r="A2037" t="s">
        <v>695</v>
      </c>
      <c r="B2037" t="s">
        <v>44</v>
      </c>
      <c r="C2037" s="2">
        <f>HYPERLINK("https://cao.dolgi.msk.ru/account/1050633628/", 1050633628)</f>
        <v>1050633628</v>
      </c>
      <c r="D2037" s="4">
        <v>6645.86</v>
      </c>
      <c r="E2037">
        <v>1.08</v>
      </c>
    </row>
    <row r="2038" spans="1:5" x14ac:dyDescent="0.25">
      <c r="A2038" t="s">
        <v>696</v>
      </c>
      <c r="B2038" t="s">
        <v>15</v>
      </c>
      <c r="C2038" s="2">
        <f>HYPERLINK("https://cao.dolgi.msk.ru/account/1050598105/", 1050598105)</f>
        <v>1050598105</v>
      </c>
      <c r="D2038" s="4">
        <v>7095.84</v>
      </c>
      <c r="E2038">
        <v>1.3</v>
      </c>
    </row>
    <row r="2039" spans="1:5" x14ac:dyDescent="0.25">
      <c r="A2039" t="s">
        <v>696</v>
      </c>
      <c r="B2039" t="s">
        <v>33</v>
      </c>
      <c r="C2039" s="2">
        <f>HYPERLINK("https://cao.dolgi.msk.ru/account/1050598324/", 1050598324)</f>
        <v>1050598324</v>
      </c>
      <c r="D2039" s="4">
        <v>12497.36</v>
      </c>
      <c r="E2039">
        <v>2</v>
      </c>
    </row>
    <row r="2040" spans="1:5" x14ac:dyDescent="0.25">
      <c r="A2040" t="s">
        <v>696</v>
      </c>
      <c r="B2040" t="s">
        <v>48</v>
      </c>
      <c r="C2040" s="2">
        <f>HYPERLINK("https://cao.dolgi.msk.ru/account/1050598535/", 1050598535)</f>
        <v>1050598535</v>
      </c>
      <c r="D2040" s="4">
        <v>14039.21</v>
      </c>
      <c r="E2040">
        <v>2.88</v>
      </c>
    </row>
    <row r="2041" spans="1:5" x14ac:dyDescent="0.25">
      <c r="A2041" t="s">
        <v>697</v>
      </c>
      <c r="B2041" t="s">
        <v>53</v>
      </c>
      <c r="C2041" s="2">
        <f>HYPERLINK("https://cao.dolgi.msk.ru/account/1050604755/", 1050604755)</f>
        <v>1050604755</v>
      </c>
      <c r="D2041" s="4">
        <v>18917.689999999999</v>
      </c>
      <c r="E2041">
        <v>3.98</v>
      </c>
    </row>
    <row r="2042" spans="1:5" x14ac:dyDescent="0.25">
      <c r="A2042" t="s">
        <v>698</v>
      </c>
      <c r="B2042" t="s">
        <v>7</v>
      </c>
      <c r="C2042" s="2">
        <f>HYPERLINK("https://cao.dolgi.msk.ru/account/1050648301/", 1050648301)</f>
        <v>1050648301</v>
      </c>
      <c r="D2042" s="4">
        <v>11573.63</v>
      </c>
      <c r="E2042">
        <v>3.18</v>
      </c>
    </row>
    <row r="2043" spans="1:5" x14ac:dyDescent="0.25">
      <c r="A2043" t="s">
        <v>698</v>
      </c>
      <c r="B2043" t="s">
        <v>39</v>
      </c>
      <c r="C2043" s="2">
        <f>HYPERLINK("https://cao.dolgi.msk.ru/account/1058131374/", 1058131374)</f>
        <v>1058131374</v>
      </c>
      <c r="D2043" s="4">
        <v>15838.89</v>
      </c>
      <c r="E2043">
        <v>2.84</v>
      </c>
    </row>
    <row r="2044" spans="1:5" x14ac:dyDescent="0.25">
      <c r="A2044" t="s">
        <v>698</v>
      </c>
      <c r="B2044" t="s">
        <v>40</v>
      </c>
      <c r="C2044" s="2">
        <f>HYPERLINK("https://cao.dolgi.msk.ru/account/1058156483/", 1058156483)</f>
        <v>1058156483</v>
      </c>
      <c r="D2044" s="4">
        <v>6011.27</v>
      </c>
      <c r="E2044">
        <v>1.59</v>
      </c>
    </row>
    <row r="2045" spans="1:5" x14ac:dyDescent="0.25">
      <c r="A2045" t="s">
        <v>699</v>
      </c>
      <c r="B2045" t="s">
        <v>8</v>
      </c>
      <c r="C2045" s="2">
        <f>HYPERLINK("https://cao.dolgi.msk.ru/account/1050598754/", 1050598754)</f>
        <v>1050598754</v>
      </c>
      <c r="D2045" s="4">
        <v>14386.4</v>
      </c>
      <c r="E2045">
        <v>2.48</v>
      </c>
    </row>
    <row r="2046" spans="1:5" x14ac:dyDescent="0.25">
      <c r="A2046" t="s">
        <v>699</v>
      </c>
      <c r="B2046" t="s">
        <v>17</v>
      </c>
      <c r="C2046" s="2">
        <f>HYPERLINK("https://cao.dolgi.msk.ru/account/1050598877/", 1050598877)</f>
        <v>1050598877</v>
      </c>
      <c r="D2046" s="4">
        <v>8688.11</v>
      </c>
      <c r="E2046">
        <v>1.97</v>
      </c>
    </row>
    <row r="2047" spans="1:5" x14ac:dyDescent="0.25">
      <c r="A2047" t="s">
        <v>699</v>
      </c>
      <c r="B2047" t="s">
        <v>18</v>
      </c>
      <c r="C2047" s="2">
        <f>HYPERLINK("https://cao.dolgi.msk.ru/account/1050598885/", 1050598885)</f>
        <v>1050598885</v>
      </c>
      <c r="D2047" s="4">
        <v>6474.04</v>
      </c>
      <c r="E2047">
        <v>1.59</v>
      </c>
    </row>
    <row r="2048" spans="1:5" x14ac:dyDescent="0.25">
      <c r="A2048" t="s">
        <v>699</v>
      </c>
      <c r="B2048" t="s">
        <v>48</v>
      </c>
      <c r="C2048" s="2">
        <f>HYPERLINK("https://cao.dolgi.msk.ru/account/1050599298/", 1050599298)</f>
        <v>1050599298</v>
      </c>
      <c r="D2048" s="4">
        <v>15997.17</v>
      </c>
      <c r="E2048">
        <v>4.1399999999999997</v>
      </c>
    </row>
    <row r="2049" spans="1:5" x14ac:dyDescent="0.25">
      <c r="A2049" t="s">
        <v>700</v>
      </c>
      <c r="B2049" t="s">
        <v>14</v>
      </c>
      <c r="C2049" s="2">
        <f>HYPERLINK("https://cao.dolgi.msk.ru/account/1050604974/", 1050604974)</f>
        <v>1050604974</v>
      </c>
      <c r="D2049" s="4">
        <v>11911.06</v>
      </c>
      <c r="E2049">
        <v>2.25</v>
      </c>
    </row>
    <row r="2050" spans="1:5" x14ac:dyDescent="0.25">
      <c r="A2050" t="s">
        <v>700</v>
      </c>
      <c r="B2050" t="s">
        <v>16</v>
      </c>
      <c r="C2050" s="2">
        <f>HYPERLINK("https://cao.dolgi.msk.ru/account/1050605002/", 1050605002)</f>
        <v>1050605002</v>
      </c>
      <c r="D2050" s="4">
        <v>6105.35</v>
      </c>
      <c r="E2050">
        <v>1.25</v>
      </c>
    </row>
    <row r="2051" spans="1:5" x14ac:dyDescent="0.25">
      <c r="A2051" t="s">
        <v>700</v>
      </c>
      <c r="B2051" t="s">
        <v>93</v>
      </c>
      <c r="C2051" s="2">
        <f>HYPERLINK("https://cao.dolgi.msk.ru/account/1050605045/", 1050605045)</f>
        <v>1050605045</v>
      </c>
      <c r="D2051" s="4">
        <v>8661.9500000000007</v>
      </c>
      <c r="E2051">
        <v>1.33</v>
      </c>
    </row>
    <row r="2052" spans="1:5" x14ac:dyDescent="0.25">
      <c r="A2052" t="s">
        <v>700</v>
      </c>
      <c r="B2052" t="s">
        <v>22</v>
      </c>
      <c r="C2052" s="2">
        <f>HYPERLINK("https://cao.dolgi.msk.ru/account/1050605096/", 1050605096)</f>
        <v>1050605096</v>
      </c>
      <c r="D2052" s="4">
        <v>29117.360000000001</v>
      </c>
      <c r="E2052">
        <v>8.2899999999999991</v>
      </c>
    </row>
    <row r="2053" spans="1:5" x14ac:dyDescent="0.25">
      <c r="A2053" t="s">
        <v>700</v>
      </c>
      <c r="B2053" t="s">
        <v>23</v>
      </c>
      <c r="C2053" s="2">
        <f>HYPERLINK("https://cao.dolgi.msk.ru/account/1058148387/", 1058148387)</f>
        <v>1058148387</v>
      </c>
      <c r="D2053" s="4">
        <v>8005.06</v>
      </c>
      <c r="E2053">
        <v>2</v>
      </c>
    </row>
    <row r="2054" spans="1:5" x14ac:dyDescent="0.25">
      <c r="A2054" t="s">
        <v>700</v>
      </c>
      <c r="B2054" t="s">
        <v>26</v>
      </c>
      <c r="C2054" s="2">
        <f>HYPERLINK("https://cao.dolgi.msk.ru/account/1050605117/", 1050605117)</f>
        <v>1050605117</v>
      </c>
      <c r="D2054" s="4">
        <v>24281.02</v>
      </c>
      <c r="E2054">
        <v>2.98</v>
      </c>
    </row>
    <row r="2055" spans="1:5" x14ac:dyDescent="0.25">
      <c r="A2055" t="s">
        <v>700</v>
      </c>
      <c r="B2055" t="s">
        <v>35</v>
      </c>
      <c r="C2055" s="2">
        <f>HYPERLINK("https://cao.dolgi.msk.ru/account/1050605213/", 1050605213)</f>
        <v>1050605213</v>
      </c>
      <c r="D2055" s="4">
        <v>5881.51</v>
      </c>
      <c r="E2055">
        <v>1.28</v>
      </c>
    </row>
    <row r="2056" spans="1:5" x14ac:dyDescent="0.25">
      <c r="A2056" t="s">
        <v>700</v>
      </c>
      <c r="B2056" t="s">
        <v>44</v>
      </c>
      <c r="C2056" s="2">
        <f>HYPERLINK("https://cao.dolgi.msk.ru/account/1050605336/", 1050605336)</f>
        <v>1050605336</v>
      </c>
      <c r="D2056" s="4">
        <v>79573.149999999994</v>
      </c>
      <c r="E2056">
        <v>13.62</v>
      </c>
    </row>
    <row r="2057" spans="1:5" x14ac:dyDescent="0.25">
      <c r="A2057" t="s">
        <v>700</v>
      </c>
      <c r="B2057" t="s">
        <v>45</v>
      </c>
      <c r="C2057" s="2">
        <f>HYPERLINK("https://cao.dolgi.msk.ru/account/1050605344/", 1050605344)</f>
        <v>1050605344</v>
      </c>
      <c r="D2057" s="4">
        <v>7688.75</v>
      </c>
      <c r="E2057">
        <v>1.41</v>
      </c>
    </row>
    <row r="2058" spans="1:5" x14ac:dyDescent="0.25">
      <c r="A2058" t="s">
        <v>700</v>
      </c>
      <c r="B2058" t="s">
        <v>47</v>
      </c>
      <c r="C2058" s="2">
        <f>HYPERLINK("https://cao.dolgi.msk.ru/account/1050605379/", 1050605379)</f>
        <v>1050605379</v>
      </c>
      <c r="D2058" s="4">
        <v>143606.82</v>
      </c>
      <c r="E2058">
        <v>26.72</v>
      </c>
    </row>
    <row r="2059" spans="1:5" x14ac:dyDescent="0.25">
      <c r="A2059" t="s">
        <v>700</v>
      </c>
      <c r="B2059" t="s">
        <v>68</v>
      </c>
      <c r="C2059" s="2">
        <f>HYPERLINK("https://cao.dolgi.msk.ru/account/1050605635/", 1050605635)</f>
        <v>1050605635</v>
      </c>
      <c r="D2059" s="4">
        <v>7814.23</v>
      </c>
      <c r="E2059">
        <v>1.1399999999999999</v>
      </c>
    </row>
    <row r="2060" spans="1:5" x14ac:dyDescent="0.25">
      <c r="A2060" t="s">
        <v>700</v>
      </c>
      <c r="B2060" t="s">
        <v>80</v>
      </c>
      <c r="C2060" s="2">
        <f>HYPERLINK("https://cao.dolgi.msk.ru/account/1050605758/", 1050605758)</f>
        <v>1050605758</v>
      </c>
      <c r="D2060" s="4">
        <v>12059.91</v>
      </c>
      <c r="E2060">
        <v>4.37</v>
      </c>
    </row>
    <row r="2061" spans="1:5" x14ac:dyDescent="0.25">
      <c r="A2061" t="s">
        <v>700</v>
      </c>
      <c r="B2061" t="s">
        <v>89</v>
      </c>
      <c r="C2061" s="2">
        <f>HYPERLINK("https://cao.dolgi.msk.ru/account/1050605862/", 1050605862)</f>
        <v>1050605862</v>
      </c>
      <c r="D2061" s="4">
        <v>261024.12</v>
      </c>
      <c r="E2061">
        <v>20.350000000000001</v>
      </c>
    </row>
    <row r="2062" spans="1:5" x14ac:dyDescent="0.25">
      <c r="A2062" t="s">
        <v>701</v>
      </c>
      <c r="B2062" t="s">
        <v>13</v>
      </c>
      <c r="C2062" s="2">
        <f>HYPERLINK("https://cao.dolgi.msk.ru/account/1050638664/", 1050638664)</f>
        <v>1050638664</v>
      </c>
      <c r="D2062" s="4">
        <v>15212.62</v>
      </c>
      <c r="E2062">
        <v>4.55</v>
      </c>
    </row>
    <row r="2063" spans="1:5" x14ac:dyDescent="0.25">
      <c r="A2063" t="s">
        <v>701</v>
      </c>
      <c r="B2063" t="s">
        <v>28</v>
      </c>
      <c r="C2063" s="2">
        <f>HYPERLINK("https://cao.dolgi.msk.ru/account/1050638963/", 1050638963)</f>
        <v>1050638963</v>
      </c>
      <c r="D2063" s="4">
        <v>7284.19</v>
      </c>
      <c r="E2063">
        <v>1.05</v>
      </c>
    </row>
    <row r="2064" spans="1:5" x14ac:dyDescent="0.25">
      <c r="A2064" t="s">
        <v>701</v>
      </c>
      <c r="B2064" t="s">
        <v>31</v>
      </c>
      <c r="C2064" s="2">
        <f>HYPERLINK("https://cao.dolgi.msk.ru/account/1050639034/", 1050639034)</f>
        <v>1050639034</v>
      </c>
      <c r="D2064" s="4">
        <v>7806.94</v>
      </c>
      <c r="E2064">
        <v>1.95</v>
      </c>
    </row>
    <row r="2065" spans="1:5" x14ac:dyDescent="0.25">
      <c r="A2065" t="s">
        <v>702</v>
      </c>
      <c r="B2065" t="s">
        <v>36</v>
      </c>
      <c r="C2065" s="2">
        <f>HYPERLINK("https://cao.dolgi.msk.ru/account/1050609898/", 1050609898)</f>
        <v>1050609898</v>
      </c>
      <c r="D2065" s="4">
        <v>5905.84</v>
      </c>
      <c r="E2065">
        <v>1.77</v>
      </c>
    </row>
    <row r="2066" spans="1:5" x14ac:dyDescent="0.25">
      <c r="A2066" t="s">
        <v>702</v>
      </c>
      <c r="B2066" t="s">
        <v>42</v>
      </c>
      <c r="C2066" s="2">
        <f>HYPERLINK("https://cao.dolgi.msk.ru/account/1050609978/", 1050609978)</f>
        <v>1050609978</v>
      </c>
      <c r="D2066" s="4">
        <v>5749.15</v>
      </c>
      <c r="E2066">
        <v>1.08</v>
      </c>
    </row>
    <row r="2067" spans="1:5" x14ac:dyDescent="0.25">
      <c r="A2067" t="s">
        <v>703</v>
      </c>
      <c r="B2067" t="s">
        <v>6</v>
      </c>
      <c r="C2067" s="2">
        <f>HYPERLINK("https://cao.dolgi.msk.ru/account/1050600818/", 1050600818)</f>
        <v>1050600818</v>
      </c>
      <c r="D2067" s="4">
        <v>6141.67</v>
      </c>
      <c r="E2067">
        <v>1.52</v>
      </c>
    </row>
    <row r="2068" spans="1:5" x14ac:dyDescent="0.25">
      <c r="A2068" t="s">
        <v>703</v>
      </c>
      <c r="B2068" t="s">
        <v>17</v>
      </c>
      <c r="C2068" s="2">
        <f>HYPERLINK("https://cao.dolgi.msk.ru/account/1050600949/", 1050600949)</f>
        <v>1050600949</v>
      </c>
      <c r="D2068" s="4">
        <v>5586.41</v>
      </c>
      <c r="E2068">
        <v>1.02</v>
      </c>
    </row>
    <row r="2069" spans="1:5" x14ac:dyDescent="0.25">
      <c r="A2069" t="s">
        <v>703</v>
      </c>
      <c r="B2069" t="s">
        <v>31</v>
      </c>
      <c r="C2069" s="2">
        <f>HYPERLINK("https://cao.dolgi.msk.ru/account/1050601159/", 1050601159)</f>
        <v>1050601159</v>
      </c>
      <c r="D2069" s="4">
        <v>149876.5</v>
      </c>
      <c r="E2069">
        <v>25.65</v>
      </c>
    </row>
    <row r="2070" spans="1:5" x14ac:dyDescent="0.25">
      <c r="A2070" t="s">
        <v>703</v>
      </c>
      <c r="B2070" t="s">
        <v>37</v>
      </c>
      <c r="C2070" s="2">
        <f>HYPERLINK("https://cao.dolgi.msk.ru/account/1050601247/", 1050601247)</f>
        <v>1050601247</v>
      </c>
      <c r="D2070" s="4">
        <v>9155.44</v>
      </c>
      <c r="E2070">
        <v>1.92</v>
      </c>
    </row>
    <row r="2071" spans="1:5" x14ac:dyDescent="0.25">
      <c r="A2071" t="s">
        <v>704</v>
      </c>
      <c r="B2071" t="s">
        <v>8</v>
      </c>
      <c r="C2071" s="2">
        <f>HYPERLINK("https://cao.dolgi.msk.ru/account/1050599511/", 1050599511)</f>
        <v>1050599511</v>
      </c>
      <c r="D2071" s="4">
        <v>5257.51</v>
      </c>
      <c r="E2071">
        <v>1.91</v>
      </c>
    </row>
    <row r="2072" spans="1:5" x14ac:dyDescent="0.25">
      <c r="A2072" t="s">
        <v>704</v>
      </c>
      <c r="B2072" t="s">
        <v>24</v>
      </c>
      <c r="C2072" s="2">
        <f>HYPERLINK("https://cao.dolgi.msk.ru/account/1050599714/", 1050599714)</f>
        <v>1050599714</v>
      </c>
      <c r="D2072" s="4">
        <v>144067.51999999999</v>
      </c>
      <c r="E2072">
        <v>34.64</v>
      </c>
    </row>
    <row r="2073" spans="1:5" x14ac:dyDescent="0.25">
      <c r="A2073" t="s">
        <v>704</v>
      </c>
      <c r="B2073" t="s">
        <v>37</v>
      </c>
      <c r="C2073" s="2">
        <f>HYPERLINK("https://cao.dolgi.msk.ru/account/1050599861/", 1050599861)</f>
        <v>1050599861</v>
      </c>
      <c r="D2073" s="4">
        <v>18610.25</v>
      </c>
      <c r="E2073">
        <v>1.9</v>
      </c>
    </row>
    <row r="2074" spans="1:5" x14ac:dyDescent="0.25">
      <c r="A2074" t="s">
        <v>704</v>
      </c>
      <c r="B2074" t="s">
        <v>41</v>
      </c>
      <c r="C2074" s="2">
        <f>HYPERLINK("https://cao.dolgi.msk.ru/account/1050599917/", 1050599917)</f>
        <v>1050599917</v>
      </c>
      <c r="D2074" s="4">
        <v>7947.88</v>
      </c>
      <c r="E2074">
        <v>1.82</v>
      </c>
    </row>
    <row r="2075" spans="1:5" x14ac:dyDescent="0.25">
      <c r="A2075" t="s">
        <v>704</v>
      </c>
      <c r="B2075" t="s">
        <v>42</v>
      </c>
      <c r="C2075" s="2">
        <f>HYPERLINK("https://cao.dolgi.msk.ru/account/1050599925/", 1050599925)</f>
        <v>1050599925</v>
      </c>
      <c r="D2075" s="4">
        <v>185709.49</v>
      </c>
      <c r="E2075">
        <v>34.43</v>
      </c>
    </row>
    <row r="2076" spans="1:5" x14ac:dyDescent="0.25">
      <c r="A2076" t="s">
        <v>704</v>
      </c>
      <c r="B2076" t="s">
        <v>94</v>
      </c>
      <c r="C2076" s="2">
        <f>HYPERLINK("https://cao.dolgi.msk.ru/account/1050599992/", 1050599992)</f>
        <v>1050599992</v>
      </c>
      <c r="D2076" s="4">
        <v>204109.46</v>
      </c>
      <c r="E2076">
        <v>34.74</v>
      </c>
    </row>
    <row r="2077" spans="1:5" x14ac:dyDescent="0.25">
      <c r="A2077" t="s">
        <v>705</v>
      </c>
      <c r="B2077" t="s">
        <v>13</v>
      </c>
      <c r="C2077" s="2">
        <f>HYPERLINK("https://cao.dolgi.msk.ru/account/1050440922/", 1050440922)</f>
        <v>1050440922</v>
      </c>
      <c r="D2077" s="4">
        <v>48436.49</v>
      </c>
      <c r="E2077">
        <v>4.25</v>
      </c>
    </row>
    <row r="2078" spans="1:5" x14ac:dyDescent="0.25">
      <c r="A2078" t="s">
        <v>705</v>
      </c>
      <c r="B2078" t="s">
        <v>14</v>
      </c>
      <c r="C2078" s="2">
        <f>HYPERLINK("https://cao.dolgi.msk.ru/account/1050440949/", 1050440949)</f>
        <v>1050440949</v>
      </c>
      <c r="D2078" s="4">
        <v>17943.88</v>
      </c>
      <c r="E2078">
        <v>5</v>
      </c>
    </row>
    <row r="2079" spans="1:5" x14ac:dyDescent="0.25">
      <c r="A2079" t="s">
        <v>705</v>
      </c>
      <c r="B2079" t="s">
        <v>28</v>
      </c>
      <c r="C2079" s="2">
        <f>HYPERLINK("https://cao.dolgi.msk.ru/account/1058156344/", 1058156344)</f>
        <v>1058156344</v>
      </c>
      <c r="D2079" s="4">
        <v>40844.22</v>
      </c>
      <c r="E2079">
        <v>7.85</v>
      </c>
    </row>
    <row r="2080" spans="1:5" x14ac:dyDescent="0.25">
      <c r="A2080" t="s">
        <v>705</v>
      </c>
      <c r="B2080" t="s">
        <v>34</v>
      </c>
      <c r="C2080" s="2">
        <f>HYPERLINK("https://cao.dolgi.msk.ru/account/1050441183/", 1050441183)</f>
        <v>1050441183</v>
      </c>
      <c r="D2080" s="4">
        <v>214126.88</v>
      </c>
      <c r="E2080">
        <v>8.66</v>
      </c>
    </row>
    <row r="2081" spans="1:5" x14ac:dyDescent="0.25">
      <c r="A2081" t="s">
        <v>705</v>
      </c>
      <c r="B2081" t="s">
        <v>55</v>
      </c>
      <c r="C2081" s="2">
        <f>HYPERLINK("https://cao.dolgi.msk.ru/account/1050441466/", 1050441466)</f>
        <v>1050441466</v>
      </c>
      <c r="D2081" s="4">
        <v>10564.31</v>
      </c>
      <c r="E2081">
        <v>2.25</v>
      </c>
    </row>
    <row r="2082" spans="1:5" x14ac:dyDescent="0.25">
      <c r="A2082" t="s">
        <v>705</v>
      </c>
      <c r="B2082" t="s">
        <v>56</v>
      </c>
      <c r="C2082" s="2">
        <f>HYPERLINK("https://cao.dolgi.msk.ru/account/1050441474/", 1050441474)</f>
        <v>1050441474</v>
      </c>
      <c r="D2082" s="4">
        <v>10822.57</v>
      </c>
      <c r="E2082">
        <v>1.98</v>
      </c>
    </row>
    <row r="2083" spans="1:5" x14ac:dyDescent="0.25">
      <c r="A2083" t="s">
        <v>705</v>
      </c>
      <c r="B2083" t="s">
        <v>57</v>
      </c>
      <c r="C2083" s="2">
        <f>HYPERLINK("https://cao.dolgi.msk.ru/account/1050441482/", 1050441482)</f>
        <v>1050441482</v>
      </c>
      <c r="D2083" s="4">
        <v>25093.56</v>
      </c>
      <c r="E2083">
        <v>3.86</v>
      </c>
    </row>
    <row r="2084" spans="1:5" x14ac:dyDescent="0.25">
      <c r="A2084" t="s">
        <v>705</v>
      </c>
      <c r="B2084" t="s">
        <v>60</v>
      </c>
      <c r="C2084" s="2">
        <f>HYPERLINK("https://cao.dolgi.msk.ru/account/1050441538/", 1050441538)</f>
        <v>1050441538</v>
      </c>
      <c r="D2084" s="4">
        <v>33527.56</v>
      </c>
      <c r="E2084">
        <v>3.98</v>
      </c>
    </row>
    <row r="2085" spans="1:5" x14ac:dyDescent="0.25">
      <c r="A2085" t="s">
        <v>705</v>
      </c>
      <c r="B2085" t="s">
        <v>61</v>
      </c>
      <c r="C2085" s="2">
        <f>HYPERLINK("https://cao.dolgi.msk.ru/account/1050441546/", 1050441546)</f>
        <v>1050441546</v>
      </c>
      <c r="D2085" s="4">
        <v>7073.64</v>
      </c>
      <c r="E2085">
        <v>2</v>
      </c>
    </row>
    <row r="2086" spans="1:5" x14ac:dyDescent="0.25">
      <c r="A2086" t="s">
        <v>705</v>
      </c>
      <c r="B2086" t="s">
        <v>68</v>
      </c>
      <c r="C2086" s="2">
        <f>HYPERLINK("https://cao.dolgi.msk.ru/account/1050441634/", 1050441634)</f>
        <v>1050441634</v>
      </c>
      <c r="D2086" s="4">
        <v>386068.53</v>
      </c>
      <c r="E2086">
        <v>30.85</v>
      </c>
    </row>
    <row r="2087" spans="1:5" x14ac:dyDescent="0.25">
      <c r="A2087" t="s">
        <v>705</v>
      </c>
      <c r="B2087" t="s">
        <v>70</v>
      </c>
      <c r="C2087" s="2">
        <f>HYPERLINK("https://cao.dolgi.msk.ru/account/1050441669/", 1050441669)</f>
        <v>1050441669</v>
      </c>
      <c r="D2087" s="4">
        <v>174704.63</v>
      </c>
      <c r="E2087">
        <v>41.31</v>
      </c>
    </row>
    <row r="2088" spans="1:5" x14ac:dyDescent="0.25">
      <c r="A2088" t="s">
        <v>705</v>
      </c>
      <c r="B2088" t="s">
        <v>73</v>
      </c>
      <c r="C2088" s="2">
        <f>HYPERLINK("https://cao.dolgi.msk.ru/account/1050441693/", 1050441693)</f>
        <v>1050441693</v>
      </c>
      <c r="D2088" s="4">
        <v>29921.06</v>
      </c>
      <c r="E2088">
        <v>5</v>
      </c>
    </row>
    <row r="2089" spans="1:5" x14ac:dyDescent="0.25">
      <c r="A2089" t="s">
        <v>705</v>
      </c>
      <c r="B2089" t="s">
        <v>81</v>
      </c>
      <c r="C2089" s="2">
        <f>HYPERLINK("https://cao.dolgi.msk.ru/account/1050441781/", 1050441781)</f>
        <v>1050441781</v>
      </c>
      <c r="D2089" s="4">
        <v>56687.93</v>
      </c>
      <c r="E2089">
        <v>1.98</v>
      </c>
    </row>
    <row r="2090" spans="1:5" x14ac:dyDescent="0.25">
      <c r="A2090" t="s">
        <v>706</v>
      </c>
      <c r="B2090" t="s">
        <v>11</v>
      </c>
      <c r="C2090" s="2">
        <f>HYPERLINK("https://cao.dolgi.msk.ru/account/1050436229/", 1050436229)</f>
        <v>1050436229</v>
      </c>
      <c r="D2090" s="4">
        <v>14551.41</v>
      </c>
      <c r="E2090">
        <v>2.31</v>
      </c>
    </row>
    <row r="2091" spans="1:5" x14ac:dyDescent="0.25">
      <c r="A2091" t="s">
        <v>706</v>
      </c>
      <c r="B2091" t="s">
        <v>15</v>
      </c>
      <c r="C2091" s="2">
        <f>HYPERLINK("https://cao.dolgi.msk.ru/account/1050436261/", 1050436261)</f>
        <v>1050436261</v>
      </c>
      <c r="D2091" s="4">
        <v>11629.35</v>
      </c>
      <c r="E2091">
        <v>1.71</v>
      </c>
    </row>
    <row r="2092" spans="1:5" x14ac:dyDescent="0.25">
      <c r="A2092" t="s">
        <v>706</v>
      </c>
      <c r="B2092" t="s">
        <v>30</v>
      </c>
      <c r="C2092" s="2">
        <f>HYPERLINK("https://cao.dolgi.msk.ru/account/1050436413/", 1050436413)</f>
        <v>1050436413</v>
      </c>
      <c r="D2092" s="4">
        <v>18535.29</v>
      </c>
      <c r="E2092">
        <v>2.89</v>
      </c>
    </row>
    <row r="2093" spans="1:5" x14ac:dyDescent="0.25">
      <c r="A2093" t="s">
        <v>706</v>
      </c>
      <c r="B2093" t="s">
        <v>31</v>
      </c>
      <c r="C2093" s="2">
        <f>HYPERLINK("https://cao.dolgi.msk.ru/account/1056009594/", 1056009594)</f>
        <v>1056009594</v>
      </c>
      <c r="D2093" s="4">
        <v>21818.240000000002</v>
      </c>
      <c r="E2093">
        <v>1.78</v>
      </c>
    </row>
    <row r="2094" spans="1:5" x14ac:dyDescent="0.25">
      <c r="A2094" t="s">
        <v>706</v>
      </c>
      <c r="B2094" t="s">
        <v>37</v>
      </c>
      <c r="C2094" s="2">
        <f>HYPERLINK("https://cao.dolgi.msk.ru/account/1050436528/", 1050436528)</f>
        <v>1050436528</v>
      </c>
      <c r="D2094" s="4">
        <v>29870.49</v>
      </c>
      <c r="E2094">
        <v>3</v>
      </c>
    </row>
    <row r="2095" spans="1:5" x14ac:dyDescent="0.25">
      <c r="A2095" t="s">
        <v>706</v>
      </c>
      <c r="B2095" t="s">
        <v>38</v>
      </c>
      <c r="C2095" s="2">
        <f>HYPERLINK("https://cao.dolgi.msk.ru/account/1050436544/", 1050436544)</f>
        <v>1050436544</v>
      </c>
      <c r="D2095" s="4">
        <v>12317.58</v>
      </c>
      <c r="E2095">
        <v>2</v>
      </c>
    </row>
    <row r="2096" spans="1:5" x14ac:dyDescent="0.25">
      <c r="A2096" t="s">
        <v>706</v>
      </c>
      <c r="B2096" t="s">
        <v>45</v>
      </c>
      <c r="C2096" s="2">
        <f>HYPERLINK("https://cao.dolgi.msk.ru/account/1058020607/", 1058020607)</f>
        <v>1058020607</v>
      </c>
      <c r="D2096" s="4">
        <v>18338.46</v>
      </c>
      <c r="E2096">
        <v>2.9</v>
      </c>
    </row>
    <row r="2097" spans="1:5" x14ac:dyDescent="0.25">
      <c r="A2097" t="s">
        <v>707</v>
      </c>
      <c r="B2097" t="s">
        <v>8</v>
      </c>
      <c r="C2097" s="2">
        <f>HYPERLINK("https://cao.dolgi.msk.ru/account/1050436982/", 1050436982)</f>
        <v>1050436982</v>
      </c>
      <c r="D2097" s="4">
        <v>32131.11</v>
      </c>
      <c r="E2097">
        <v>4.09</v>
      </c>
    </row>
    <row r="2098" spans="1:5" x14ac:dyDescent="0.25">
      <c r="A2098" t="s">
        <v>707</v>
      </c>
      <c r="B2098" t="s">
        <v>40</v>
      </c>
      <c r="C2098" s="2">
        <f>HYPERLINK("https://cao.dolgi.msk.ru/account/1050437475/", 1050437475)</f>
        <v>1050437475</v>
      </c>
      <c r="D2098" s="4">
        <v>10701.56</v>
      </c>
      <c r="E2098">
        <v>1.94</v>
      </c>
    </row>
    <row r="2099" spans="1:5" x14ac:dyDescent="0.25">
      <c r="A2099" t="s">
        <v>708</v>
      </c>
      <c r="B2099" t="s">
        <v>20</v>
      </c>
      <c r="C2099" s="2">
        <f>HYPERLINK("https://cao.dolgi.msk.ru/account/1058122857/", 1058122857)</f>
        <v>1058122857</v>
      </c>
      <c r="D2099" s="4">
        <v>35112.15</v>
      </c>
      <c r="E2099">
        <v>2.82</v>
      </c>
    </row>
    <row r="2100" spans="1:5" x14ac:dyDescent="0.25">
      <c r="A2100" t="s">
        <v>708</v>
      </c>
      <c r="B2100" t="s">
        <v>21</v>
      </c>
      <c r="C2100" s="2">
        <f>HYPERLINK("https://cao.dolgi.msk.ru/account/1058175342/", 1058175342)</f>
        <v>1058175342</v>
      </c>
      <c r="D2100" s="4">
        <v>41709.660000000003</v>
      </c>
      <c r="E2100">
        <v>4.16</v>
      </c>
    </row>
    <row r="2101" spans="1:5" x14ac:dyDescent="0.25">
      <c r="A2101" t="s">
        <v>709</v>
      </c>
      <c r="B2101" t="s">
        <v>12</v>
      </c>
      <c r="C2101" s="2">
        <f>HYPERLINK("https://cao.dolgi.msk.ru/account/1050547455/", 1050547455)</f>
        <v>1050547455</v>
      </c>
      <c r="D2101" s="4">
        <v>43696.97</v>
      </c>
      <c r="E2101">
        <v>2.3199999999999998</v>
      </c>
    </row>
    <row r="2102" spans="1:5" x14ac:dyDescent="0.25">
      <c r="A2102" t="s">
        <v>710</v>
      </c>
      <c r="B2102" t="s">
        <v>9</v>
      </c>
      <c r="C2102" s="2">
        <f>HYPERLINK("https://cao.dolgi.msk.ru/account/1050593339/", 1050593339)</f>
        <v>1050593339</v>
      </c>
      <c r="D2102" s="4">
        <v>17293.29</v>
      </c>
      <c r="E2102">
        <v>1.04</v>
      </c>
    </row>
    <row r="2103" spans="1:5" x14ac:dyDescent="0.25">
      <c r="A2103" t="s">
        <v>710</v>
      </c>
      <c r="B2103" t="s">
        <v>711</v>
      </c>
      <c r="C2103" s="2">
        <f>HYPERLINK("https://cao.dolgi.msk.ru/account/1056026239/", 1056026239)</f>
        <v>1056026239</v>
      </c>
      <c r="D2103" s="4">
        <v>122780.61</v>
      </c>
      <c r="E2103">
        <v>4.37</v>
      </c>
    </row>
    <row r="2104" spans="1:5" x14ac:dyDescent="0.25">
      <c r="A2104" t="s">
        <v>710</v>
      </c>
      <c r="B2104" t="s">
        <v>22</v>
      </c>
      <c r="C2104" s="2">
        <f>HYPERLINK("https://cao.dolgi.msk.ru/account/1050593558/", 1050593558)</f>
        <v>1050593558</v>
      </c>
      <c r="D2104" s="4">
        <v>945004.47</v>
      </c>
      <c r="E2104">
        <v>36.81</v>
      </c>
    </row>
    <row r="2105" spans="1:5" x14ac:dyDescent="0.25">
      <c r="A2105" t="s">
        <v>710</v>
      </c>
      <c r="B2105" t="s">
        <v>31</v>
      </c>
      <c r="C2105" s="2">
        <f>HYPERLINK("https://cao.dolgi.msk.ru/account/1050593662/", 1050593662)</f>
        <v>1050593662</v>
      </c>
      <c r="D2105" s="4">
        <v>117718.73</v>
      </c>
      <c r="E2105">
        <v>7.75</v>
      </c>
    </row>
    <row r="2106" spans="1:5" x14ac:dyDescent="0.25">
      <c r="A2106" t="s">
        <v>712</v>
      </c>
      <c r="B2106" t="s">
        <v>12</v>
      </c>
      <c r="C2106" s="2">
        <f>HYPERLINK("https://cao.dolgi.msk.ru/account/1050593072/", 1050593072)</f>
        <v>1050593072</v>
      </c>
      <c r="D2106" s="4">
        <v>223655.38</v>
      </c>
      <c r="E2106">
        <v>14.66</v>
      </c>
    </row>
    <row r="2107" spans="1:5" x14ac:dyDescent="0.25">
      <c r="A2107" t="s">
        <v>713</v>
      </c>
      <c r="B2107" t="s">
        <v>22</v>
      </c>
      <c r="C2107" s="2">
        <f>HYPERLINK("https://cao.dolgi.msk.ru/account/1050284093/", 1050284093)</f>
        <v>1050284093</v>
      </c>
      <c r="D2107" s="4">
        <v>68365.95</v>
      </c>
      <c r="E2107">
        <v>5.29</v>
      </c>
    </row>
    <row r="2108" spans="1:5" x14ac:dyDescent="0.25">
      <c r="A2108" t="s">
        <v>713</v>
      </c>
      <c r="B2108" t="s">
        <v>28</v>
      </c>
      <c r="C2108" s="2">
        <f>HYPERLINK("https://cao.dolgi.msk.ru/account/1050284253/", 1050284253)</f>
        <v>1050284253</v>
      </c>
      <c r="D2108" s="4">
        <v>36155.160000000003</v>
      </c>
      <c r="E2108">
        <v>3.52</v>
      </c>
    </row>
    <row r="2109" spans="1:5" x14ac:dyDescent="0.25">
      <c r="A2109" t="s">
        <v>713</v>
      </c>
      <c r="B2109" t="s">
        <v>42</v>
      </c>
      <c r="C2109" s="2">
        <f>HYPERLINK("https://cao.dolgi.msk.ru/account/1050284763/", 1050284763)</f>
        <v>1050284763</v>
      </c>
      <c r="D2109" s="4">
        <v>14772.29</v>
      </c>
      <c r="E2109">
        <v>1.58</v>
      </c>
    </row>
    <row r="2110" spans="1:5" x14ac:dyDescent="0.25">
      <c r="A2110" t="s">
        <v>713</v>
      </c>
      <c r="B2110" t="s">
        <v>46</v>
      </c>
      <c r="C2110" s="2">
        <f>HYPERLINK("https://cao.dolgi.msk.ru/account/1058121504/", 1058121504)</f>
        <v>1058121504</v>
      </c>
      <c r="D2110" s="4">
        <v>266606.46000000002</v>
      </c>
      <c r="E2110">
        <v>47.37</v>
      </c>
    </row>
    <row r="2111" spans="1:5" x14ac:dyDescent="0.25">
      <c r="A2111" t="s">
        <v>713</v>
      </c>
      <c r="B2111" t="s">
        <v>54</v>
      </c>
      <c r="C2111" s="2">
        <f>HYPERLINK("https://cao.dolgi.msk.ru/account/1058144976/", 1058144976)</f>
        <v>1058144976</v>
      </c>
      <c r="D2111" s="4">
        <v>23115.54</v>
      </c>
      <c r="E2111">
        <v>4.1900000000000004</v>
      </c>
    </row>
    <row r="2112" spans="1:5" x14ac:dyDescent="0.25">
      <c r="A2112" t="s">
        <v>713</v>
      </c>
      <c r="B2112" t="s">
        <v>57</v>
      </c>
      <c r="C2112" s="2">
        <f>HYPERLINK("https://cao.dolgi.msk.ru/account/1050285264/", 1050285264)</f>
        <v>1050285264</v>
      </c>
      <c r="D2112" s="4">
        <v>8466.91</v>
      </c>
      <c r="E2112">
        <v>1.23</v>
      </c>
    </row>
    <row r="2113" spans="1:5" x14ac:dyDescent="0.25">
      <c r="A2113" t="s">
        <v>713</v>
      </c>
      <c r="B2113" t="s">
        <v>61</v>
      </c>
      <c r="C2113" s="2">
        <f>HYPERLINK("https://cao.dolgi.msk.ru/account/1050285387/", 1050285387)</f>
        <v>1050285387</v>
      </c>
      <c r="D2113" s="4">
        <v>8898.41</v>
      </c>
      <c r="E2113">
        <v>1.99</v>
      </c>
    </row>
    <row r="2114" spans="1:5" x14ac:dyDescent="0.25">
      <c r="A2114" t="s">
        <v>713</v>
      </c>
      <c r="B2114" t="s">
        <v>68</v>
      </c>
      <c r="C2114" s="2">
        <f>HYPERLINK("https://cao.dolgi.msk.ru/account/1058018419/", 1058018419)</f>
        <v>1058018419</v>
      </c>
      <c r="D2114" s="4">
        <v>9180.69</v>
      </c>
      <c r="E2114">
        <v>1.33</v>
      </c>
    </row>
    <row r="2115" spans="1:5" x14ac:dyDescent="0.25">
      <c r="A2115" t="s">
        <v>713</v>
      </c>
      <c r="B2115" t="s">
        <v>70</v>
      </c>
      <c r="C2115" s="2">
        <f>HYPERLINK("https://cao.dolgi.msk.ru/account/1050285643/", 1050285643)</f>
        <v>1050285643</v>
      </c>
      <c r="D2115" s="4">
        <v>19742.87</v>
      </c>
      <c r="E2115">
        <v>3.23</v>
      </c>
    </row>
    <row r="2116" spans="1:5" x14ac:dyDescent="0.25">
      <c r="A2116" t="s">
        <v>714</v>
      </c>
      <c r="B2116" t="s">
        <v>31</v>
      </c>
      <c r="C2116" s="2">
        <f>HYPERLINK("https://cao.dolgi.msk.ru/account/1050347816/", 1050347816)</f>
        <v>1050347816</v>
      </c>
      <c r="D2116" s="4">
        <v>12460.79</v>
      </c>
      <c r="E2116">
        <v>2.08</v>
      </c>
    </row>
    <row r="2117" spans="1:5" x14ac:dyDescent="0.25">
      <c r="A2117" t="s">
        <v>714</v>
      </c>
      <c r="B2117" t="s">
        <v>32</v>
      </c>
      <c r="C2117" s="2">
        <f>HYPERLINK("https://cao.dolgi.msk.ru/account/1050347824/", 1050347824)</f>
        <v>1050347824</v>
      </c>
      <c r="D2117" s="4">
        <v>15156.7</v>
      </c>
      <c r="E2117">
        <v>1.97</v>
      </c>
    </row>
    <row r="2118" spans="1:5" x14ac:dyDescent="0.25">
      <c r="A2118" t="s">
        <v>714</v>
      </c>
      <c r="B2118" t="s">
        <v>52</v>
      </c>
      <c r="C2118" s="2">
        <f>HYPERLINK("https://cao.dolgi.msk.ru/account/1050348093/", 1050348093)</f>
        <v>1050348093</v>
      </c>
      <c r="D2118" s="4">
        <v>14653.28</v>
      </c>
      <c r="E2118">
        <v>2.9</v>
      </c>
    </row>
    <row r="2119" spans="1:5" x14ac:dyDescent="0.25">
      <c r="A2119" t="s">
        <v>714</v>
      </c>
      <c r="B2119" t="s">
        <v>73</v>
      </c>
      <c r="C2119" s="2">
        <f>HYPERLINK("https://cao.dolgi.msk.ru/account/1050348341/", 1050348341)</f>
        <v>1050348341</v>
      </c>
      <c r="D2119" s="4">
        <v>41928.519999999997</v>
      </c>
      <c r="E2119">
        <v>14.15</v>
      </c>
    </row>
    <row r="2120" spans="1:5" x14ac:dyDescent="0.25">
      <c r="A2120" t="s">
        <v>714</v>
      </c>
      <c r="B2120" t="s">
        <v>101</v>
      </c>
      <c r="C2120" s="2">
        <f>HYPERLINK("https://cao.dolgi.msk.ru/account/1050348632/", 1050348632)</f>
        <v>1050348632</v>
      </c>
      <c r="D2120" s="4">
        <v>352927.72</v>
      </c>
      <c r="E2120">
        <v>36.03</v>
      </c>
    </row>
    <row r="2121" spans="1:5" x14ac:dyDescent="0.25">
      <c r="A2121" t="s">
        <v>714</v>
      </c>
      <c r="B2121" t="s">
        <v>105</v>
      </c>
      <c r="C2121" s="2">
        <f>HYPERLINK("https://cao.dolgi.msk.ru/account/1050348675/", 1050348675)</f>
        <v>1050348675</v>
      </c>
      <c r="D2121" s="4">
        <v>13517.27</v>
      </c>
      <c r="E2121">
        <v>1.72</v>
      </c>
    </row>
    <row r="2122" spans="1:5" x14ac:dyDescent="0.25">
      <c r="A2122" t="s">
        <v>714</v>
      </c>
      <c r="B2122" t="s">
        <v>107</v>
      </c>
      <c r="C2122" s="2">
        <f>HYPERLINK("https://cao.dolgi.msk.ru/account/1050348691/", 1050348691)</f>
        <v>1050348691</v>
      </c>
      <c r="D2122" s="4">
        <v>51761.66</v>
      </c>
      <c r="E2122">
        <v>6.08</v>
      </c>
    </row>
    <row r="2123" spans="1:5" x14ac:dyDescent="0.25">
      <c r="A2123" t="s">
        <v>714</v>
      </c>
      <c r="B2123" t="s">
        <v>118</v>
      </c>
      <c r="C2123" s="2">
        <f>HYPERLINK("https://cao.dolgi.msk.ru/account/1050348835/", 1050348835)</f>
        <v>1050348835</v>
      </c>
      <c r="D2123" s="4">
        <v>10743.98</v>
      </c>
      <c r="E2123">
        <v>1.89</v>
      </c>
    </row>
    <row r="2124" spans="1:5" x14ac:dyDescent="0.25">
      <c r="A2124" t="s">
        <v>715</v>
      </c>
      <c r="B2124" t="s">
        <v>7</v>
      </c>
      <c r="C2124" s="2">
        <f>HYPERLINK("https://cao.dolgi.msk.ru/account/1050430118/", 1050430118)</f>
        <v>1050430118</v>
      </c>
      <c r="D2124" s="4">
        <v>10071.5</v>
      </c>
      <c r="E2124">
        <v>1.98</v>
      </c>
    </row>
    <row r="2125" spans="1:5" x14ac:dyDescent="0.25">
      <c r="A2125" t="s">
        <v>715</v>
      </c>
      <c r="B2125" t="s">
        <v>17</v>
      </c>
      <c r="C2125" s="2">
        <f>HYPERLINK("https://cao.dolgi.msk.ru/account/1050430222/", 1050430222)</f>
        <v>1050430222</v>
      </c>
      <c r="D2125" s="4">
        <v>38018.47</v>
      </c>
      <c r="E2125">
        <v>7.26</v>
      </c>
    </row>
    <row r="2126" spans="1:5" x14ac:dyDescent="0.25">
      <c r="A2126" t="s">
        <v>715</v>
      </c>
      <c r="B2126" t="s">
        <v>18</v>
      </c>
      <c r="C2126" s="2">
        <f>HYPERLINK("https://cao.dolgi.msk.ru/account/1050430249/", 1050430249)</f>
        <v>1050430249</v>
      </c>
      <c r="D2126" s="4">
        <v>22663.759999999998</v>
      </c>
      <c r="E2126">
        <v>3.12</v>
      </c>
    </row>
    <row r="2127" spans="1:5" x14ac:dyDescent="0.25">
      <c r="A2127" t="s">
        <v>715</v>
      </c>
      <c r="B2127" t="s">
        <v>19</v>
      </c>
      <c r="C2127" s="2">
        <f>HYPERLINK("https://cao.dolgi.msk.ru/account/1050430265/", 1050430265)</f>
        <v>1050430265</v>
      </c>
      <c r="D2127" s="4">
        <v>22413.06</v>
      </c>
      <c r="E2127">
        <v>4.4400000000000004</v>
      </c>
    </row>
    <row r="2128" spans="1:5" x14ac:dyDescent="0.25">
      <c r="A2128" t="s">
        <v>715</v>
      </c>
      <c r="B2128" t="s">
        <v>36</v>
      </c>
      <c r="C2128" s="2">
        <f>HYPERLINK("https://cao.dolgi.msk.ru/account/1050430433/", 1050430433)</f>
        <v>1050430433</v>
      </c>
      <c r="D2128" s="4">
        <v>9031.73</v>
      </c>
      <c r="E2128">
        <v>1.88</v>
      </c>
    </row>
    <row r="2129" spans="1:5" x14ac:dyDescent="0.25">
      <c r="A2129" t="s">
        <v>716</v>
      </c>
      <c r="B2129" t="s">
        <v>22</v>
      </c>
      <c r="C2129" s="2">
        <f>HYPERLINK("https://cao.dolgi.msk.ru/account/1050385927/", 1050385927)</f>
        <v>1050385927</v>
      </c>
      <c r="D2129" s="4">
        <v>15374.84</v>
      </c>
      <c r="E2129">
        <v>2.09</v>
      </c>
    </row>
    <row r="2130" spans="1:5" x14ac:dyDescent="0.25">
      <c r="A2130" t="s">
        <v>716</v>
      </c>
      <c r="B2130" t="s">
        <v>28</v>
      </c>
      <c r="C2130" s="2">
        <f>HYPERLINK("https://cao.dolgi.msk.ru/account/1050386081/", 1050386081)</f>
        <v>1050386081</v>
      </c>
      <c r="D2130" s="4">
        <v>104287.47</v>
      </c>
      <c r="E2130">
        <v>27.09</v>
      </c>
    </row>
    <row r="2131" spans="1:5" x14ac:dyDescent="0.25">
      <c r="A2131" t="s">
        <v>716</v>
      </c>
      <c r="B2131" t="s">
        <v>41</v>
      </c>
      <c r="C2131" s="2">
        <f>HYPERLINK("https://cao.dolgi.msk.ru/account/1050386751/", 1050386751)</f>
        <v>1050386751</v>
      </c>
      <c r="D2131" s="4">
        <v>8719.24</v>
      </c>
      <c r="E2131">
        <v>2.91</v>
      </c>
    </row>
    <row r="2132" spans="1:5" x14ac:dyDescent="0.25">
      <c r="A2132" t="s">
        <v>716</v>
      </c>
      <c r="B2132" t="s">
        <v>52</v>
      </c>
      <c r="C2132" s="2">
        <f>HYPERLINK("https://cao.dolgi.msk.ru/account/1050387279/", 1050387279)</f>
        <v>1050387279</v>
      </c>
      <c r="D2132" s="4">
        <v>39833.339999999997</v>
      </c>
      <c r="E2132">
        <v>2.99</v>
      </c>
    </row>
    <row r="2133" spans="1:5" x14ac:dyDescent="0.25">
      <c r="A2133" t="s">
        <v>716</v>
      </c>
      <c r="B2133" t="s">
        <v>53</v>
      </c>
      <c r="C2133" s="2">
        <f>HYPERLINK("https://cao.dolgi.msk.ru/account/1050387316/", 1050387316)</f>
        <v>1050387316</v>
      </c>
      <c r="D2133" s="4">
        <v>21915.7</v>
      </c>
      <c r="E2133">
        <v>3.91</v>
      </c>
    </row>
    <row r="2134" spans="1:5" x14ac:dyDescent="0.25">
      <c r="A2134" t="s">
        <v>716</v>
      </c>
      <c r="B2134" t="s">
        <v>70</v>
      </c>
      <c r="C2134" s="2">
        <f>HYPERLINK("https://cao.dolgi.msk.ru/account/1050387658/", 1050387658)</f>
        <v>1050387658</v>
      </c>
      <c r="D2134" s="4">
        <v>11114.04</v>
      </c>
      <c r="E2134">
        <v>1.95</v>
      </c>
    </row>
    <row r="2135" spans="1:5" x14ac:dyDescent="0.25">
      <c r="A2135" t="s">
        <v>716</v>
      </c>
      <c r="B2135" t="s">
        <v>101</v>
      </c>
      <c r="C2135" s="2">
        <f>HYPERLINK("https://cao.dolgi.msk.ru/account/1050388167/", 1050388167)</f>
        <v>1050388167</v>
      </c>
      <c r="D2135" s="4">
        <v>12808.05</v>
      </c>
      <c r="E2135">
        <v>2.2799999999999998</v>
      </c>
    </row>
    <row r="2136" spans="1:5" x14ac:dyDescent="0.25">
      <c r="A2136" t="s">
        <v>716</v>
      </c>
      <c r="B2136" t="s">
        <v>105</v>
      </c>
      <c r="C2136" s="2">
        <f>HYPERLINK("https://cao.dolgi.msk.ru/account/1050388247/", 1050388247)</f>
        <v>1050388247</v>
      </c>
      <c r="D2136" s="4">
        <v>67660</v>
      </c>
      <c r="E2136">
        <v>4.76</v>
      </c>
    </row>
    <row r="2137" spans="1:5" x14ac:dyDescent="0.25">
      <c r="A2137" t="s">
        <v>717</v>
      </c>
      <c r="B2137" t="s">
        <v>21</v>
      </c>
      <c r="C2137" s="2">
        <f>HYPERLINK("https://cao.dolgi.msk.ru/account/1050389338/", 1050389338)</f>
        <v>1050389338</v>
      </c>
      <c r="D2137" s="4">
        <v>57126.03</v>
      </c>
      <c r="E2137">
        <v>6.18</v>
      </c>
    </row>
    <row r="2138" spans="1:5" x14ac:dyDescent="0.25">
      <c r="A2138" t="s">
        <v>717</v>
      </c>
      <c r="B2138" t="s">
        <v>85</v>
      </c>
      <c r="C2138" s="2">
        <f>HYPERLINK("https://cao.dolgi.msk.ru/account/1050391972/", 1050391972)</f>
        <v>1050391972</v>
      </c>
      <c r="D2138" s="4">
        <v>17451.16</v>
      </c>
      <c r="E2138">
        <v>2</v>
      </c>
    </row>
    <row r="2139" spans="1:5" x14ac:dyDescent="0.25">
      <c r="A2139" t="s">
        <v>718</v>
      </c>
      <c r="B2139" t="s">
        <v>40</v>
      </c>
      <c r="C2139" s="2">
        <f>HYPERLINK("https://cao.dolgi.msk.ru/account/1050422505/", 1050422505)</f>
        <v>1050422505</v>
      </c>
      <c r="D2139" s="4">
        <v>17529.41</v>
      </c>
      <c r="E2139">
        <v>1.85</v>
      </c>
    </row>
    <row r="2140" spans="1:5" x14ac:dyDescent="0.25">
      <c r="A2140" t="s">
        <v>718</v>
      </c>
      <c r="B2140" t="s">
        <v>62</v>
      </c>
      <c r="C2140" s="2">
        <f>HYPERLINK("https://cao.dolgi.msk.ru/account/1050423292/", 1050423292)</f>
        <v>1050423292</v>
      </c>
      <c r="D2140" s="4">
        <v>21882.99</v>
      </c>
      <c r="E2140">
        <v>2.84</v>
      </c>
    </row>
    <row r="2141" spans="1:5" x14ac:dyDescent="0.25">
      <c r="A2141" t="s">
        <v>718</v>
      </c>
      <c r="B2141" t="s">
        <v>79</v>
      </c>
      <c r="C2141" s="2">
        <f>HYPERLINK("https://cao.dolgi.msk.ru/account/1050422951/", 1050422951)</f>
        <v>1050422951</v>
      </c>
      <c r="D2141" s="4">
        <v>9670.2000000000007</v>
      </c>
      <c r="E2141">
        <v>1.39</v>
      </c>
    </row>
    <row r="2142" spans="1:5" x14ac:dyDescent="0.25">
      <c r="A2142" t="s">
        <v>718</v>
      </c>
      <c r="B2142" t="s">
        <v>96</v>
      </c>
      <c r="C2142" s="2">
        <f>HYPERLINK("https://cao.dolgi.msk.ru/account/1050423188/", 1050423188)</f>
        <v>1050423188</v>
      </c>
      <c r="D2142" s="4">
        <v>20486.13</v>
      </c>
      <c r="E2142">
        <v>1.98</v>
      </c>
    </row>
    <row r="2143" spans="1:5" x14ac:dyDescent="0.25">
      <c r="A2143" t="s">
        <v>718</v>
      </c>
      <c r="B2143" t="s">
        <v>99</v>
      </c>
      <c r="C2143" s="2">
        <f>HYPERLINK("https://cao.dolgi.msk.ru/account/1050423225/", 1050423225)</f>
        <v>1050423225</v>
      </c>
      <c r="D2143" s="4">
        <v>11181.86</v>
      </c>
      <c r="E2143">
        <v>1.1599999999999999</v>
      </c>
    </row>
    <row r="2144" spans="1:5" x14ac:dyDescent="0.25">
      <c r="A2144" t="s">
        <v>719</v>
      </c>
      <c r="B2144" t="s">
        <v>8</v>
      </c>
      <c r="C2144" s="2">
        <f>HYPERLINK("https://cao.dolgi.msk.ru/account/1058162197/", 1058162197)</f>
        <v>1058162197</v>
      </c>
      <c r="D2144" s="4">
        <v>11247.42</v>
      </c>
      <c r="E2144">
        <v>1.1499999999999999</v>
      </c>
    </row>
    <row r="2145" spans="1:5" x14ac:dyDescent="0.25">
      <c r="A2145" t="s">
        <v>719</v>
      </c>
      <c r="B2145" t="s">
        <v>12</v>
      </c>
      <c r="C2145" s="2">
        <f>HYPERLINK("https://cao.dolgi.msk.ru/account/1058161899/", 1058161899)</f>
        <v>1058161899</v>
      </c>
      <c r="D2145" s="4">
        <v>11621.03</v>
      </c>
      <c r="E2145">
        <v>1.56</v>
      </c>
    </row>
    <row r="2146" spans="1:5" x14ac:dyDescent="0.25">
      <c r="A2146" t="s">
        <v>719</v>
      </c>
      <c r="B2146" t="s">
        <v>19</v>
      </c>
      <c r="C2146" s="2">
        <f>HYPERLINK("https://cao.dolgi.msk.ru/account/1058161514/", 1058161514)</f>
        <v>1058161514</v>
      </c>
      <c r="D2146" s="4">
        <v>64020.36</v>
      </c>
      <c r="E2146">
        <v>6.93</v>
      </c>
    </row>
    <row r="2147" spans="1:5" x14ac:dyDescent="0.25">
      <c r="A2147" t="s">
        <v>719</v>
      </c>
      <c r="B2147" t="s">
        <v>40</v>
      </c>
      <c r="C2147" s="2">
        <f>HYPERLINK("https://cao.dolgi.msk.ru/account/1058162015/", 1058162015)</f>
        <v>1058162015</v>
      </c>
      <c r="D2147" s="4">
        <v>26055.200000000001</v>
      </c>
      <c r="E2147">
        <v>2.0299999999999998</v>
      </c>
    </row>
    <row r="2148" spans="1:5" x14ac:dyDescent="0.25">
      <c r="A2148" t="s">
        <v>720</v>
      </c>
      <c r="B2148" t="s">
        <v>12</v>
      </c>
      <c r="C2148" s="2">
        <f>HYPERLINK("https://cao.dolgi.msk.ru/account/1058018742/", 1058018742)</f>
        <v>1058018742</v>
      </c>
      <c r="D2148" s="4">
        <v>9066.68</v>
      </c>
      <c r="E2148">
        <v>1.4</v>
      </c>
    </row>
    <row r="2149" spans="1:5" x14ac:dyDescent="0.25">
      <c r="A2149" t="s">
        <v>720</v>
      </c>
      <c r="B2149" t="s">
        <v>23</v>
      </c>
      <c r="C2149" s="2">
        <f>HYPERLINK("https://cao.dolgi.msk.ru/account/1050384238/", 1050384238)</f>
        <v>1050384238</v>
      </c>
      <c r="D2149" s="4">
        <v>124602.64</v>
      </c>
      <c r="E2149">
        <v>18.86</v>
      </c>
    </row>
    <row r="2150" spans="1:5" x14ac:dyDescent="0.25">
      <c r="A2150" t="s">
        <v>720</v>
      </c>
      <c r="B2150" t="s">
        <v>39</v>
      </c>
      <c r="C2150" s="2">
        <f>HYPERLINK("https://cao.dolgi.msk.ru/account/1050384457/", 1050384457)</f>
        <v>1050384457</v>
      </c>
      <c r="D2150" s="4">
        <v>5786.86</v>
      </c>
      <c r="E2150">
        <v>1.0900000000000001</v>
      </c>
    </row>
    <row r="2151" spans="1:5" x14ac:dyDescent="0.25">
      <c r="A2151" t="s">
        <v>720</v>
      </c>
      <c r="B2151" t="s">
        <v>41</v>
      </c>
      <c r="C2151" s="2">
        <f>HYPERLINK("https://cao.dolgi.msk.ru/account/1058096062/", 1058096062)</f>
        <v>1058096062</v>
      </c>
      <c r="D2151" s="4">
        <v>20672.240000000002</v>
      </c>
      <c r="E2151">
        <v>3.1</v>
      </c>
    </row>
    <row r="2152" spans="1:5" x14ac:dyDescent="0.25">
      <c r="A2152" t="s">
        <v>720</v>
      </c>
      <c r="B2152" t="s">
        <v>42</v>
      </c>
      <c r="C2152" s="2">
        <f>HYPERLINK("https://cao.dolgi.msk.ru/account/1050384502/", 1050384502)</f>
        <v>1050384502</v>
      </c>
      <c r="D2152" s="4">
        <v>14404.89</v>
      </c>
      <c r="E2152">
        <v>1.98</v>
      </c>
    </row>
    <row r="2153" spans="1:5" x14ac:dyDescent="0.25">
      <c r="A2153" t="s">
        <v>720</v>
      </c>
      <c r="B2153" t="s">
        <v>45</v>
      </c>
      <c r="C2153" s="2">
        <f>HYPERLINK("https://cao.dolgi.msk.ru/account/1050384545/", 1050384545)</f>
        <v>1050384545</v>
      </c>
      <c r="D2153" s="4">
        <v>10769.51</v>
      </c>
      <c r="E2153">
        <v>1.96</v>
      </c>
    </row>
    <row r="2154" spans="1:5" x14ac:dyDescent="0.25">
      <c r="A2154" t="s">
        <v>720</v>
      </c>
      <c r="B2154" t="s">
        <v>54</v>
      </c>
      <c r="C2154" s="2">
        <f>HYPERLINK("https://cao.dolgi.msk.ru/account/1050384676/", 1050384676)</f>
        <v>1050384676</v>
      </c>
      <c r="D2154" s="4">
        <v>22065.81</v>
      </c>
      <c r="E2154">
        <v>2.96</v>
      </c>
    </row>
    <row r="2155" spans="1:5" x14ac:dyDescent="0.25">
      <c r="A2155" t="s">
        <v>721</v>
      </c>
      <c r="B2155" t="s">
        <v>28</v>
      </c>
      <c r="C2155" s="2">
        <f>HYPERLINK("https://cao.dolgi.msk.ru/account/1050375702/", 1050375702)</f>
        <v>1050375702</v>
      </c>
      <c r="D2155" s="4">
        <v>7824.01</v>
      </c>
      <c r="E2155">
        <v>1.37</v>
      </c>
    </row>
    <row r="2156" spans="1:5" x14ac:dyDescent="0.25">
      <c r="A2156" t="s">
        <v>721</v>
      </c>
      <c r="B2156" t="s">
        <v>29</v>
      </c>
      <c r="C2156" s="2">
        <f>HYPERLINK("https://cao.dolgi.msk.ru/account/1050375745/", 1050375745)</f>
        <v>1050375745</v>
      </c>
      <c r="D2156" s="4">
        <v>13525.58</v>
      </c>
      <c r="E2156">
        <v>1.9</v>
      </c>
    </row>
    <row r="2157" spans="1:5" x14ac:dyDescent="0.25">
      <c r="A2157" t="s">
        <v>721</v>
      </c>
      <c r="B2157" t="s">
        <v>35</v>
      </c>
      <c r="C2157" s="2">
        <f>HYPERLINK("https://cao.dolgi.msk.ru/account/1059008298/", 1059008298)</f>
        <v>1059008298</v>
      </c>
      <c r="D2157" s="4">
        <v>34702.44</v>
      </c>
      <c r="E2157">
        <v>2.97</v>
      </c>
    </row>
    <row r="2158" spans="1:5" x14ac:dyDescent="0.25">
      <c r="A2158" t="s">
        <v>721</v>
      </c>
      <c r="B2158" t="s">
        <v>40</v>
      </c>
      <c r="C2158" s="2">
        <f>HYPERLINK("https://cao.dolgi.msk.ru/account/1050376123/", 1050376123)</f>
        <v>1050376123</v>
      </c>
      <c r="D2158" s="4">
        <v>14975.39</v>
      </c>
      <c r="E2158">
        <v>2.0499999999999998</v>
      </c>
    </row>
    <row r="2159" spans="1:5" x14ac:dyDescent="0.25">
      <c r="A2159" t="s">
        <v>721</v>
      </c>
      <c r="B2159" t="s">
        <v>44</v>
      </c>
      <c r="C2159" s="2">
        <f>HYPERLINK("https://cao.dolgi.msk.ru/account/1050376326/", 1050376326)</f>
        <v>1050376326</v>
      </c>
      <c r="D2159" s="4">
        <v>12667.43</v>
      </c>
      <c r="E2159">
        <v>1.03</v>
      </c>
    </row>
    <row r="2160" spans="1:5" x14ac:dyDescent="0.25">
      <c r="A2160" t="s">
        <v>721</v>
      </c>
      <c r="B2160" t="s">
        <v>49</v>
      </c>
      <c r="C2160" s="2">
        <f>HYPERLINK("https://cao.dolgi.msk.ru/account/1050376529/", 1050376529)</f>
        <v>1050376529</v>
      </c>
      <c r="D2160" s="4">
        <v>18358.04</v>
      </c>
      <c r="E2160">
        <v>2.2000000000000002</v>
      </c>
    </row>
    <row r="2161" spans="1:5" x14ac:dyDescent="0.25">
      <c r="A2161" t="s">
        <v>722</v>
      </c>
      <c r="B2161" t="s">
        <v>10</v>
      </c>
      <c r="C2161" s="2">
        <f>HYPERLINK("https://cao.dolgi.msk.ru/account/1050416789/", 1050416789)</f>
        <v>1050416789</v>
      </c>
      <c r="D2161" s="4">
        <v>18963.580000000002</v>
      </c>
      <c r="E2161">
        <v>7.96</v>
      </c>
    </row>
    <row r="2162" spans="1:5" x14ac:dyDescent="0.25">
      <c r="A2162" t="s">
        <v>722</v>
      </c>
      <c r="B2162" t="s">
        <v>26</v>
      </c>
      <c r="C2162" s="2">
        <f>HYPERLINK("https://cao.dolgi.msk.ru/account/1050416973/", 1050416973)</f>
        <v>1050416973</v>
      </c>
      <c r="D2162" s="4">
        <v>22625.759999999998</v>
      </c>
      <c r="E2162">
        <v>4.5199999999999996</v>
      </c>
    </row>
    <row r="2163" spans="1:5" x14ac:dyDescent="0.25">
      <c r="A2163" t="s">
        <v>722</v>
      </c>
      <c r="B2163" t="s">
        <v>37</v>
      </c>
      <c r="C2163" s="2">
        <f>HYPERLINK("https://cao.dolgi.msk.ru/account/1050417116/", 1050417116)</f>
        <v>1050417116</v>
      </c>
      <c r="D2163" s="4">
        <v>8399.7900000000009</v>
      </c>
      <c r="E2163">
        <v>1.76</v>
      </c>
    </row>
    <row r="2164" spans="1:5" x14ac:dyDescent="0.25">
      <c r="A2164" t="s">
        <v>722</v>
      </c>
      <c r="B2164" t="s">
        <v>59</v>
      </c>
      <c r="C2164" s="2">
        <f>HYPERLINK("https://cao.dolgi.msk.ru/account/1050417407/", 1050417407)</f>
        <v>1050417407</v>
      </c>
      <c r="D2164" s="4">
        <v>6783.68</v>
      </c>
      <c r="E2164">
        <v>1.31</v>
      </c>
    </row>
    <row r="2165" spans="1:5" x14ac:dyDescent="0.25">
      <c r="A2165" t="s">
        <v>722</v>
      </c>
      <c r="B2165" t="s">
        <v>60</v>
      </c>
      <c r="C2165" s="2">
        <f>HYPERLINK("https://cao.dolgi.msk.ru/account/1050417415/", 1050417415)</f>
        <v>1050417415</v>
      </c>
      <c r="D2165" s="4">
        <v>11169.63</v>
      </c>
      <c r="E2165">
        <v>1.88</v>
      </c>
    </row>
    <row r="2166" spans="1:5" x14ac:dyDescent="0.25">
      <c r="A2166" t="s">
        <v>723</v>
      </c>
      <c r="B2166" t="s">
        <v>26</v>
      </c>
      <c r="C2166" s="2">
        <f>HYPERLINK("https://cao.dolgi.msk.ru/account/1050378348/", 1050378348)</f>
        <v>1050378348</v>
      </c>
      <c r="D2166" s="4">
        <v>18013.349999999999</v>
      </c>
      <c r="E2166">
        <v>2.95</v>
      </c>
    </row>
    <row r="2167" spans="1:5" x14ac:dyDescent="0.25">
      <c r="A2167" t="s">
        <v>723</v>
      </c>
      <c r="B2167" t="s">
        <v>27</v>
      </c>
      <c r="C2167" s="2">
        <f>HYPERLINK("https://cao.dolgi.msk.ru/account/1058013749/", 1058013749)</f>
        <v>1058013749</v>
      </c>
      <c r="D2167" s="4">
        <v>7737.36</v>
      </c>
      <c r="E2167">
        <v>1.61</v>
      </c>
    </row>
    <row r="2168" spans="1:5" x14ac:dyDescent="0.25">
      <c r="A2168" t="s">
        <v>723</v>
      </c>
      <c r="B2168" t="s">
        <v>44</v>
      </c>
      <c r="C2168" s="2">
        <f>HYPERLINK("https://cao.dolgi.msk.ru/account/1050378727/", 1050378727)</f>
        <v>1050378727</v>
      </c>
      <c r="D2168" s="4">
        <v>55039.98</v>
      </c>
      <c r="E2168">
        <v>6.38</v>
      </c>
    </row>
    <row r="2169" spans="1:5" x14ac:dyDescent="0.25">
      <c r="A2169" t="s">
        <v>723</v>
      </c>
      <c r="B2169" t="s">
        <v>95</v>
      </c>
      <c r="C2169" s="2">
        <f>HYPERLINK("https://cao.dolgi.msk.ru/account/1050378866/", 1050378866)</f>
        <v>1050378866</v>
      </c>
      <c r="D2169" s="4">
        <v>26787.8</v>
      </c>
      <c r="E2169">
        <v>4.07</v>
      </c>
    </row>
    <row r="2170" spans="1:5" x14ac:dyDescent="0.25">
      <c r="A2170" t="s">
        <v>723</v>
      </c>
      <c r="B2170" t="s">
        <v>49</v>
      </c>
      <c r="C2170" s="2">
        <f>HYPERLINK("https://cao.dolgi.msk.ru/account/1050378911/", 1050378911)</f>
        <v>1050378911</v>
      </c>
      <c r="D2170" s="4">
        <v>8726.11</v>
      </c>
      <c r="E2170">
        <v>1.86</v>
      </c>
    </row>
    <row r="2171" spans="1:5" x14ac:dyDescent="0.25">
      <c r="A2171" t="s">
        <v>723</v>
      </c>
      <c r="B2171" t="s">
        <v>52</v>
      </c>
      <c r="C2171" s="2">
        <f>HYPERLINK("https://cao.dolgi.msk.ru/account/1050378997/", 1050378997)</f>
        <v>1050378997</v>
      </c>
      <c r="D2171" s="4">
        <v>27415.73</v>
      </c>
      <c r="E2171">
        <v>2.99</v>
      </c>
    </row>
    <row r="2172" spans="1:5" x14ac:dyDescent="0.25">
      <c r="A2172" t="s">
        <v>723</v>
      </c>
      <c r="B2172" t="s">
        <v>54</v>
      </c>
      <c r="C2172" s="2">
        <f>HYPERLINK("https://cao.dolgi.msk.ru/account/1050379017/", 1050379017)</f>
        <v>1050379017</v>
      </c>
      <c r="D2172" s="4">
        <v>15854.25</v>
      </c>
      <c r="E2172">
        <v>2.0099999999999998</v>
      </c>
    </row>
    <row r="2173" spans="1:5" x14ac:dyDescent="0.25">
      <c r="A2173" t="s">
        <v>724</v>
      </c>
      <c r="B2173" t="s">
        <v>29</v>
      </c>
      <c r="C2173" s="2">
        <f>HYPERLINK("https://cao.dolgi.msk.ru/account/1050416164/", 1050416164)</f>
        <v>1050416164</v>
      </c>
      <c r="D2173" s="4">
        <v>26258.71</v>
      </c>
      <c r="E2173">
        <v>4.82</v>
      </c>
    </row>
    <row r="2174" spans="1:5" x14ac:dyDescent="0.25">
      <c r="A2174" t="s">
        <v>724</v>
      </c>
      <c r="B2174" t="s">
        <v>31</v>
      </c>
      <c r="C2174" s="2">
        <f>HYPERLINK("https://cao.dolgi.msk.ru/account/1050416199/", 1050416199)</f>
        <v>1050416199</v>
      </c>
      <c r="D2174" s="4">
        <v>29548.45</v>
      </c>
      <c r="E2174">
        <v>4.38</v>
      </c>
    </row>
    <row r="2175" spans="1:5" x14ac:dyDescent="0.25">
      <c r="A2175" t="s">
        <v>724</v>
      </c>
      <c r="B2175" t="s">
        <v>51</v>
      </c>
      <c r="C2175" s="2">
        <f>HYPERLINK("https://cao.dolgi.msk.ru/account/1050416455/", 1050416455)</f>
        <v>1050416455</v>
      </c>
      <c r="D2175" s="4">
        <v>9730.2199999999993</v>
      </c>
      <c r="E2175">
        <v>1.73</v>
      </c>
    </row>
    <row r="2176" spans="1:5" x14ac:dyDescent="0.25">
      <c r="A2176" t="s">
        <v>725</v>
      </c>
      <c r="B2176" t="s">
        <v>9</v>
      </c>
      <c r="C2176" s="2">
        <f>HYPERLINK("https://cao.dolgi.msk.ru/account/1058010433/", 1058010433)</f>
        <v>1058010433</v>
      </c>
      <c r="D2176" s="4">
        <v>19454.47</v>
      </c>
      <c r="E2176">
        <v>3.39</v>
      </c>
    </row>
    <row r="2177" spans="1:5" x14ac:dyDescent="0.25">
      <c r="A2177" t="s">
        <v>725</v>
      </c>
      <c r="B2177" t="s">
        <v>27</v>
      </c>
      <c r="C2177" s="2">
        <f>HYPERLINK("https://cao.dolgi.msk.ru/account/1058019569/", 1058019569)</f>
        <v>1058019569</v>
      </c>
      <c r="D2177" s="4">
        <v>17263.71</v>
      </c>
      <c r="E2177">
        <v>2.92</v>
      </c>
    </row>
    <row r="2178" spans="1:5" x14ac:dyDescent="0.25">
      <c r="A2178" t="s">
        <v>725</v>
      </c>
      <c r="B2178" t="s">
        <v>78</v>
      </c>
      <c r="C2178" s="2">
        <f>HYPERLINK("https://cao.dolgi.msk.ru/account/1050319081/", 1050319081)</f>
        <v>1050319081</v>
      </c>
      <c r="D2178" s="4">
        <v>22355.11</v>
      </c>
      <c r="E2178">
        <v>3.04</v>
      </c>
    </row>
    <row r="2179" spans="1:5" x14ac:dyDescent="0.25">
      <c r="A2179" t="s">
        <v>725</v>
      </c>
      <c r="B2179" t="s">
        <v>86</v>
      </c>
      <c r="C2179" s="2">
        <f>HYPERLINK("https://cao.dolgi.msk.ru/account/1050319225/", 1050319225)</f>
        <v>1050319225</v>
      </c>
      <c r="D2179" s="4">
        <v>10769.51</v>
      </c>
      <c r="E2179">
        <v>1.61</v>
      </c>
    </row>
    <row r="2180" spans="1:5" x14ac:dyDescent="0.25">
      <c r="A2180" t="s">
        <v>726</v>
      </c>
      <c r="B2180" t="s">
        <v>8</v>
      </c>
      <c r="C2180" s="2">
        <f>HYPERLINK("https://cao.dolgi.msk.ru/account/1050383585/", 1050383585)</f>
        <v>1050383585</v>
      </c>
      <c r="D2180" s="4">
        <v>623150.04</v>
      </c>
      <c r="E2180">
        <v>64.78</v>
      </c>
    </row>
    <row r="2181" spans="1:5" x14ac:dyDescent="0.25">
      <c r="A2181" t="s">
        <v>726</v>
      </c>
      <c r="B2181" t="s">
        <v>15</v>
      </c>
      <c r="C2181" s="2">
        <f>HYPERLINK("https://cao.dolgi.msk.ru/account/1050383681/", 1050383681)</f>
        <v>1050383681</v>
      </c>
      <c r="D2181" s="4">
        <v>11662.45</v>
      </c>
      <c r="E2181">
        <v>1.35</v>
      </c>
    </row>
    <row r="2182" spans="1:5" x14ac:dyDescent="0.25">
      <c r="A2182" t="s">
        <v>727</v>
      </c>
      <c r="B2182" t="s">
        <v>33</v>
      </c>
      <c r="C2182" s="2">
        <f>HYPERLINK("https://cao.dolgi.msk.ru/account/1057109175/", 1057109175)</f>
        <v>1057109175</v>
      </c>
      <c r="D2182" s="4">
        <v>29356.3</v>
      </c>
      <c r="E2182">
        <v>2.87</v>
      </c>
    </row>
    <row r="2183" spans="1:5" x14ac:dyDescent="0.25">
      <c r="A2183" t="s">
        <v>728</v>
      </c>
      <c r="B2183" t="s">
        <v>6</v>
      </c>
      <c r="C2183" s="2">
        <f>HYPERLINK("https://cao.dolgi.msk.ru/account/1050439817/", 1050439817)</f>
        <v>1050439817</v>
      </c>
      <c r="D2183" s="4">
        <v>37141.050000000003</v>
      </c>
      <c r="E2183">
        <v>6.59</v>
      </c>
    </row>
    <row r="2184" spans="1:5" x14ac:dyDescent="0.25">
      <c r="A2184" t="s">
        <v>728</v>
      </c>
      <c r="B2184" t="s">
        <v>12</v>
      </c>
      <c r="C2184" s="2">
        <f>HYPERLINK("https://cao.dolgi.msk.ru/account/1050439876/", 1050439876)</f>
        <v>1050439876</v>
      </c>
      <c r="D2184" s="4">
        <v>21809.59</v>
      </c>
      <c r="E2184">
        <v>5.0199999999999996</v>
      </c>
    </row>
    <row r="2185" spans="1:5" x14ac:dyDescent="0.25">
      <c r="A2185" t="s">
        <v>728</v>
      </c>
      <c r="B2185" t="s">
        <v>15</v>
      </c>
      <c r="C2185" s="2">
        <f>HYPERLINK("https://cao.dolgi.msk.ru/account/1050439905/", 1050439905)</f>
        <v>1050439905</v>
      </c>
      <c r="D2185" s="4">
        <v>22827.49</v>
      </c>
      <c r="E2185">
        <v>2.1</v>
      </c>
    </row>
    <row r="2186" spans="1:5" x14ac:dyDescent="0.25">
      <c r="A2186" t="s">
        <v>728</v>
      </c>
      <c r="B2186" t="s">
        <v>35</v>
      </c>
      <c r="C2186" s="2">
        <f>HYPERLINK("https://cao.dolgi.msk.ru/account/1050440156/", 1050440156)</f>
        <v>1050440156</v>
      </c>
      <c r="D2186" s="4">
        <v>24036.06</v>
      </c>
      <c r="E2186">
        <v>1.99</v>
      </c>
    </row>
    <row r="2187" spans="1:5" x14ac:dyDescent="0.25">
      <c r="A2187" t="s">
        <v>728</v>
      </c>
      <c r="B2187" t="s">
        <v>44</v>
      </c>
      <c r="C2187" s="2">
        <f>HYPERLINK("https://cao.dolgi.msk.ru/account/1050440279/", 1050440279)</f>
        <v>1050440279</v>
      </c>
      <c r="D2187" s="4">
        <v>7358.28</v>
      </c>
      <c r="E2187">
        <v>1.93</v>
      </c>
    </row>
    <row r="2188" spans="1:5" x14ac:dyDescent="0.25">
      <c r="A2188" t="s">
        <v>729</v>
      </c>
      <c r="B2188" t="s">
        <v>8</v>
      </c>
      <c r="C2188" s="2">
        <f>HYPERLINK("https://cao.dolgi.msk.ru/account/1050438785/", 1050438785)</f>
        <v>1050438785</v>
      </c>
      <c r="D2188" s="4">
        <v>8140.45</v>
      </c>
      <c r="E2188">
        <v>2.02</v>
      </c>
    </row>
    <row r="2189" spans="1:5" x14ac:dyDescent="0.25">
      <c r="A2189" t="s">
        <v>729</v>
      </c>
      <c r="B2189" t="s">
        <v>33</v>
      </c>
      <c r="C2189" s="2">
        <f>HYPERLINK("https://cao.dolgi.msk.ru/account/1050439083/", 1050439083)</f>
        <v>1050439083</v>
      </c>
      <c r="D2189" s="4">
        <v>5522.47</v>
      </c>
      <c r="E2189">
        <v>1.07</v>
      </c>
    </row>
    <row r="2190" spans="1:5" x14ac:dyDescent="0.25">
      <c r="A2190" t="s">
        <v>729</v>
      </c>
      <c r="B2190" t="s">
        <v>34</v>
      </c>
      <c r="C2190" s="2">
        <f>HYPERLINK("https://cao.dolgi.msk.ru/account/1050439091/", 1050439091)</f>
        <v>1050439091</v>
      </c>
      <c r="D2190" s="4">
        <v>6739.96</v>
      </c>
      <c r="E2190">
        <v>1.98</v>
      </c>
    </row>
    <row r="2191" spans="1:5" x14ac:dyDescent="0.25">
      <c r="A2191" t="s">
        <v>729</v>
      </c>
      <c r="B2191" t="s">
        <v>45</v>
      </c>
      <c r="C2191" s="2">
        <f>HYPERLINK("https://cao.dolgi.msk.ru/account/1050439243/", 1050439243)</f>
        <v>1050439243</v>
      </c>
      <c r="D2191" s="4">
        <v>12197.28</v>
      </c>
      <c r="E2191">
        <v>2.31</v>
      </c>
    </row>
    <row r="2192" spans="1:5" x14ac:dyDescent="0.25">
      <c r="A2192" t="s">
        <v>729</v>
      </c>
      <c r="B2192" t="s">
        <v>57</v>
      </c>
      <c r="C2192" s="2">
        <f>HYPERLINK("https://cao.dolgi.msk.ru/account/1058022266/", 1058022266)</f>
        <v>1058022266</v>
      </c>
      <c r="D2192" s="4">
        <v>17281.849999999999</v>
      </c>
      <c r="E2192">
        <v>2.67</v>
      </c>
    </row>
    <row r="2193" spans="1:5" x14ac:dyDescent="0.25">
      <c r="A2193" t="s">
        <v>729</v>
      </c>
      <c r="B2193" t="s">
        <v>60</v>
      </c>
      <c r="C2193" s="2">
        <f>HYPERLINK("https://cao.dolgi.msk.ru/account/1050439454/", 1050439454)</f>
        <v>1050439454</v>
      </c>
      <c r="D2193" s="4">
        <v>6760.65</v>
      </c>
      <c r="E2193">
        <v>1.91</v>
      </c>
    </row>
    <row r="2194" spans="1:5" x14ac:dyDescent="0.25">
      <c r="A2194" t="s">
        <v>729</v>
      </c>
      <c r="B2194" t="s">
        <v>80</v>
      </c>
      <c r="C2194" s="2">
        <f>HYPERLINK("https://cao.dolgi.msk.ru/account/1050439729/", 1050439729)</f>
        <v>1050439729</v>
      </c>
      <c r="D2194" s="4">
        <v>19851.810000000001</v>
      </c>
      <c r="E2194">
        <v>3</v>
      </c>
    </row>
    <row r="2195" spans="1:5" x14ac:dyDescent="0.25">
      <c r="A2195" t="s">
        <v>730</v>
      </c>
      <c r="B2195" t="s">
        <v>12</v>
      </c>
      <c r="C2195" s="2">
        <f>HYPERLINK("https://cao.dolgi.msk.ru/account/1050437838/", 1050437838)</f>
        <v>1050437838</v>
      </c>
      <c r="D2195" s="4">
        <v>9095.9599999999991</v>
      </c>
      <c r="E2195">
        <v>1.61</v>
      </c>
    </row>
    <row r="2196" spans="1:5" x14ac:dyDescent="0.25">
      <c r="A2196" t="s">
        <v>730</v>
      </c>
      <c r="B2196" t="s">
        <v>18</v>
      </c>
      <c r="C2196" s="2">
        <f>HYPERLINK("https://cao.dolgi.msk.ru/account/1050437918/", 1050437918)</f>
        <v>1050437918</v>
      </c>
      <c r="D2196" s="4">
        <v>308278.36</v>
      </c>
      <c r="E2196">
        <v>43.12</v>
      </c>
    </row>
    <row r="2197" spans="1:5" x14ac:dyDescent="0.25">
      <c r="A2197" t="s">
        <v>730</v>
      </c>
      <c r="B2197" t="s">
        <v>28</v>
      </c>
      <c r="C2197" s="2">
        <f>HYPERLINK("https://cao.dolgi.msk.ru/account/1050438021/", 1050438021)</f>
        <v>1050438021</v>
      </c>
      <c r="D2197" s="4">
        <v>5119.32</v>
      </c>
      <c r="E2197">
        <v>1.02</v>
      </c>
    </row>
    <row r="2198" spans="1:5" x14ac:dyDescent="0.25">
      <c r="A2198" t="s">
        <v>730</v>
      </c>
      <c r="B2198" t="s">
        <v>38</v>
      </c>
      <c r="C2198" s="2">
        <f>HYPERLINK("https://cao.dolgi.msk.ru/account/1056047646/", 1056047646)</f>
        <v>1056047646</v>
      </c>
      <c r="D2198" s="4">
        <v>86349.119999999995</v>
      </c>
      <c r="E2198">
        <v>14.39</v>
      </c>
    </row>
    <row r="2199" spans="1:5" x14ac:dyDescent="0.25">
      <c r="A2199" t="s">
        <v>730</v>
      </c>
      <c r="B2199" t="s">
        <v>64</v>
      </c>
      <c r="C2199" s="2">
        <f>HYPERLINK("https://cao.dolgi.msk.ru/account/1050438507/", 1050438507)</f>
        <v>1050438507</v>
      </c>
      <c r="D2199" s="4">
        <v>12297.95</v>
      </c>
      <c r="E2199">
        <v>1.34</v>
      </c>
    </row>
    <row r="2200" spans="1:5" x14ac:dyDescent="0.25">
      <c r="A2200" t="s">
        <v>730</v>
      </c>
      <c r="B2200" t="s">
        <v>75</v>
      </c>
      <c r="C2200" s="2">
        <f>HYPERLINK("https://cao.dolgi.msk.ru/account/1050438646/", 1050438646)</f>
        <v>1050438646</v>
      </c>
      <c r="D2200" s="4">
        <v>25468.21</v>
      </c>
      <c r="E2200">
        <v>6.63</v>
      </c>
    </row>
    <row r="2201" spans="1:5" x14ac:dyDescent="0.25">
      <c r="A2201" t="s">
        <v>730</v>
      </c>
      <c r="B2201" t="s">
        <v>80</v>
      </c>
      <c r="C2201" s="2">
        <f>HYPERLINK("https://cao.dolgi.msk.ru/account/1050438718/", 1050438718)</f>
        <v>1050438718</v>
      </c>
      <c r="D2201" s="4">
        <v>10212.74</v>
      </c>
      <c r="E2201">
        <v>2.67</v>
      </c>
    </row>
    <row r="2202" spans="1:5" x14ac:dyDescent="0.25">
      <c r="A2202" t="s">
        <v>731</v>
      </c>
      <c r="B2202" t="s">
        <v>14</v>
      </c>
      <c r="C2202" s="2">
        <f>HYPERLINK("https://cao.dolgi.msk.ru/account/1058004922/", 1058004922)</f>
        <v>1058004922</v>
      </c>
      <c r="D2202" s="4">
        <v>30581.759999999998</v>
      </c>
      <c r="E2202">
        <v>1.95</v>
      </c>
    </row>
    <row r="2203" spans="1:5" x14ac:dyDescent="0.25">
      <c r="A2203" t="s">
        <v>731</v>
      </c>
      <c r="B2203" t="s">
        <v>21</v>
      </c>
      <c r="C2203" s="2">
        <f>HYPERLINK("https://cao.dolgi.msk.ru/account/1058005044/", 1058005044)</f>
        <v>1058005044</v>
      </c>
      <c r="D2203" s="4">
        <v>36525.730000000003</v>
      </c>
      <c r="E2203">
        <v>2.5099999999999998</v>
      </c>
    </row>
    <row r="2204" spans="1:5" x14ac:dyDescent="0.25">
      <c r="A2204" t="s">
        <v>731</v>
      </c>
      <c r="B2204" t="s">
        <v>22</v>
      </c>
      <c r="C2204" s="2">
        <f>HYPERLINK("https://cao.dolgi.msk.ru/account/1058005052/", 1058005052)</f>
        <v>1058005052</v>
      </c>
      <c r="D2204" s="4">
        <v>795008</v>
      </c>
      <c r="E2204">
        <v>41</v>
      </c>
    </row>
    <row r="2205" spans="1:5" x14ac:dyDescent="0.25">
      <c r="A2205" t="s">
        <v>731</v>
      </c>
      <c r="B2205" t="s">
        <v>29</v>
      </c>
      <c r="C2205" s="2">
        <f>HYPERLINK("https://cao.dolgi.msk.ru/account/1058005132/", 1058005132)</f>
        <v>1058005132</v>
      </c>
      <c r="D2205" s="4">
        <v>26541.87</v>
      </c>
      <c r="E2205">
        <v>2</v>
      </c>
    </row>
    <row r="2206" spans="1:5" x14ac:dyDescent="0.25">
      <c r="A2206" t="s">
        <v>731</v>
      </c>
      <c r="B2206" t="s">
        <v>30</v>
      </c>
      <c r="C2206" s="2">
        <f>HYPERLINK("https://cao.dolgi.msk.ru/account/1058005159/", 1058005159)</f>
        <v>1058005159</v>
      </c>
      <c r="D2206" s="4">
        <v>26078.66</v>
      </c>
      <c r="E2206">
        <v>2.46</v>
      </c>
    </row>
    <row r="2207" spans="1:5" x14ac:dyDescent="0.25">
      <c r="A2207" t="s">
        <v>731</v>
      </c>
      <c r="B2207" t="s">
        <v>47</v>
      </c>
      <c r="C2207" s="2">
        <f>HYPERLINK("https://cao.dolgi.msk.ru/account/1058005351/", 1058005351)</f>
        <v>1058005351</v>
      </c>
      <c r="D2207" s="4">
        <v>29014.880000000001</v>
      </c>
      <c r="E2207">
        <v>2</v>
      </c>
    </row>
    <row r="2208" spans="1:5" x14ac:dyDescent="0.25">
      <c r="A2208" t="s">
        <v>731</v>
      </c>
      <c r="B2208" t="s">
        <v>66</v>
      </c>
      <c r="C2208" s="2">
        <f>HYPERLINK("https://cao.dolgi.msk.ru/account/1058005626/", 1058005626)</f>
        <v>1058005626</v>
      </c>
      <c r="D2208" s="4">
        <v>73966.820000000007</v>
      </c>
      <c r="E2208">
        <v>3.98</v>
      </c>
    </row>
    <row r="2209" spans="1:5" x14ac:dyDescent="0.25">
      <c r="A2209" t="s">
        <v>732</v>
      </c>
      <c r="B2209" t="s">
        <v>7</v>
      </c>
      <c r="C2209" s="2">
        <f>HYPERLINK("https://cao.dolgi.msk.ru/account/1050585574/", 1050585574)</f>
        <v>1050585574</v>
      </c>
      <c r="D2209" s="4">
        <v>9992.76</v>
      </c>
      <c r="E2209">
        <v>1.21</v>
      </c>
    </row>
    <row r="2210" spans="1:5" x14ac:dyDescent="0.25">
      <c r="A2210" t="s">
        <v>732</v>
      </c>
      <c r="B2210" t="s">
        <v>14</v>
      </c>
      <c r="C2210" s="2">
        <f>HYPERLINK("https://cao.dolgi.msk.ru/account/1050585398/", 1050585398)</f>
        <v>1050585398</v>
      </c>
      <c r="D2210" s="4">
        <v>163261.67000000001</v>
      </c>
      <c r="E2210">
        <v>32.53</v>
      </c>
    </row>
    <row r="2211" spans="1:5" x14ac:dyDescent="0.25">
      <c r="A2211" t="s">
        <v>732</v>
      </c>
      <c r="B2211" t="s">
        <v>17</v>
      </c>
      <c r="C2211" s="2">
        <f>HYPERLINK("https://cao.dolgi.msk.ru/account/1050585646/", 1050585646)</f>
        <v>1050585646</v>
      </c>
      <c r="D2211" s="4">
        <v>68097.69</v>
      </c>
      <c r="E2211">
        <v>9.41</v>
      </c>
    </row>
    <row r="2212" spans="1:5" x14ac:dyDescent="0.25">
      <c r="A2212" t="s">
        <v>732</v>
      </c>
      <c r="B2212" t="s">
        <v>24</v>
      </c>
      <c r="C2212" s="2">
        <f>HYPERLINK("https://cao.dolgi.msk.ru/account/1050585435/", 1050585435)</f>
        <v>1050585435</v>
      </c>
      <c r="D2212" s="4">
        <v>15296.2</v>
      </c>
      <c r="E2212">
        <v>1.98</v>
      </c>
    </row>
    <row r="2213" spans="1:5" x14ac:dyDescent="0.25">
      <c r="A2213" t="s">
        <v>733</v>
      </c>
      <c r="B2213" t="s">
        <v>11</v>
      </c>
      <c r="C2213" s="2">
        <f>HYPERLINK("https://cao.dolgi.msk.ru/account/1050432615/", 1050432615)</f>
        <v>1050432615</v>
      </c>
      <c r="D2213" s="4">
        <v>14360.18</v>
      </c>
      <c r="E2213">
        <v>2</v>
      </c>
    </row>
    <row r="2214" spans="1:5" x14ac:dyDescent="0.25">
      <c r="A2214" t="s">
        <v>733</v>
      </c>
      <c r="B2214" t="s">
        <v>33</v>
      </c>
      <c r="C2214" s="2">
        <f>HYPERLINK("https://cao.dolgi.msk.ru/account/1050432893/", 1050432893)</f>
        <v>1050432893</v>
      </c>
      <c r="D2214" s="4">
        <v>5149.09</v>
      </c>
      <c r="E2214">
        <v>2.02</v>
      </c>
    </row>
    <row r="2215" spans="1:5" x14ac:dyDescent="0.25">
      <c r="A2215" t="s">
        <v>733</v>
      </c>
      <c r="B2215" t="s">
        <v>35</v>
      </c>
      <c r="C2215" s="2">
        <f>HYPERLINK("https://cao.dolgi.msk.ru/account/1050432914/", 1050432914)</f>
        <v>1050432914</v>
      </c>
      <c r="D2215" s="4">
        <v>16469.47</v>
      </c>
      <c r="E2215">
        <v>3.77</v>
      </c>
    </row>
    <row r="2216" spans="1:5" x14ac:dyDescent="0.25">
      <c r="A2216" t="s">
        <v>733</v>
      </c>
      <c r="B2216" t="s">
        <v>56</v>
      </c>
      <c r="C2216" s="2">
        <f>HYPERLINK("https://cao.dolgi.msk.ru/account/1050433191/", 1050433191)</f>
        <v>1050433191</v>
      </c>
      <c r="D2216" s="4">
        <v>7721.24</v>
      </c>
      <c r="E2216">
        <v>2.0699999999999998</v>
      </c>
    </row>
    <row r="2217" spans="1:5" x14ac:dyDescent="0.25">
      <c r="A2217" t="s">
        <v>733</v>
      </c>
      <c r="B2217" t="s">
        <v>66</v>
      </c>
      <c r="C2217" s="2">
        <f>HYPERLINK("https://cao.dolgi.msk.ru/account/1050433327/", 1050433327)</f>
        <v>1050433327</v>
      </c>
      <c r="D2217" s="4">
        <v>7930.97</v>
      </c>
      <c r="E2217">
        <v>1.85</v>
      </c>
    </row>
    <row r="2218" spans="1:5" x14ac:dyDescent="0.25">
      <c r="A2218" t="s">
        <v>733</v>
      </c>
      <c r="B2218" t="s">
        <v>67</v>
      </c>
      <c r="C2218" s="2">
        <f>HYPERLINK("https://cao.dolgi.msk.ru/account/1058025109/", 1058025109)</f>
        <v>1058025109</v>
      </c>
      <c r="D2218" s="4">
        <v>9551.94</v>
      </c>
      <c r="E2218">
        <v>2.04</v>
      </c>
    </row>
    <row r="2219" spans="1:5" x14ac:dyDescent="0.25">
      <c r="A2219" t="s">
        <v>734</v>
      </c>
      <c r="B2219" t="s">
        <v>7</v>
      </c>
      <c r="C2219" s="2">
        <f>HYPERLINK("https://cao.dolgi.msk.ru/account/1050426303/", 1050426303)</f>
        <v>1050426303</v>
      </c>
      <c r="D2219" s="4">
        <v>6861.97</v>
      </c>
      <c r="E2219">
        <v>1.45</v>
      </c>
    </row>
    <row r="2220" spans="1:5" x14ac:dyDescent="0.25">
      <c r="A2220" t="s">
        <v>734</v>
      </c>
      <c r="B2220" t="s">
        <v>35</v>
      </c>
      <c r="C2220" s="2">
        <f>HYPERLINK("https://cao.dolgi.msk.ru/account/1050426661/", 1050426661)</f>
        <v>1050426661</v>
      </c>
      <c r="D2220" s="4">
        <v>6924.94</v>
      </c>
      <c r="E2220">
        <v>1.95</v>
      </c>
    </row>
    <row r="2221" spans="1:5" x14ac:dyDescent="0.25">
      <c r="A2221" t="s">
        <v>734</v>
      </c>
      <c r="B2221" t="s">
        <v>40</v>
      </c>
      <c r="C2221" s="2">
        <f>HYPERLINK("https://cao.dolgi.msk.ru/account/1050426733/", 1050426733)</f>
        <v>1050426733</v>
      </c>
      <c r="D2221" s="4">
        <v>5819.21</v>
      </c>
      <c r="E2221">
        <v>1.71</v>
      </c>
    </row>
    <row r="2222" spans="1:5" x14ac:dyDescent="0.25">
      <c r="A2222" t="s">
        <v>735</v>
      </c>
      <c r="B2222" t="s">
        <v>11</v>
      </c>
      <c r="C2222" s="2">
        <f>HYPERLINK("https://cao.dolgi.msk.ru/account/1050430804/", 1050430804)</f>
        <v>1050430804</v>
      </c>
      <c r="D2222" s="4">
        <v>9516.75</v>
      </c>
      <c r="E2222">
        <v>2.2400000000000002</v>
      </c>
    </row>
    <row r="2223" spans="1:5" x14ac:dyDescent="0.25">
      <c r="A2223" t="s">
        <v>735</v>
      </c>
      <c r="B2223" t="s">
        <v>12</v>
      </c>
      <c r="C2223" s="2">
        <f>HYPERLINK("https://cao.dolgi.msk.ru/account/1058154621/", 1058154621)</f>
        <v>1058154621</v>
      </c>
      <c r="D2223" s="4">
        <v>66079.48</v>
      </c>
      <c r="E2223">
        <v>14.59</v>
      </c>
    </row>
    <row r="2224" spans="1:5" x14ac:dyDescent="0.25">
      <c r="A2224" t="s">
        <v>735</v>
      </c>
      <c r="B2224" t="s">
        <v>19</v>
      </c>
      <c r="C2224" s="2">
        <f>HYPERLINK("https://cao.dolgi.msk.ru/account/1050430927/", 1050430927)</f>
        <v>1050430927</v>
      </c>
      <c r="D2224" s="4">
        <v>10318.969999999999</v>
      </c>
      <c r="E2224">
        <v>2.0299999999999998</v>
      </c>
    </row>
    <row r="2225" spans="1:5" x14ac:dyDescent="0.25">
      <c r="A2225" t="s">
        <v>735</v>
      </c>
      <c r="B2225" t="s">
        <v>34</v>
      </c>
      <c r="C2225" s="2">
        <f>HYPERLINK("https://cao.dolgi.msk.ru/account/1050431102/", 1050431102)</f>
        <v>1050431102</v>
      </c>
      <c r="D2225" s="4">
        <v>7082.35</v>
      </c>
      <c r="E2225">
        <v>2.0299999999999998</v>
      </c>
    </row>
    <row r="2226" spans="1:5" x14ac:dyDescent="0.25">
      <c r="A2226" t="s">
        <v>735</v>
      </c>
      <c r="B2226" t="s">
        <v>38</v>
      </c>
      <c r="C2226" s="2">
        <f>HYPERLINK("https://cao.dolgi.msk.ru/account/1058148977/", 1058148977)</f>
        <v>1058148977</v>
      </c>
      <c r="D2226" s="4">
        <v>34613.85</v>
      </c>
      <c r="E2226">
        <v>5.5</v>
      </c>
    </row>
    <row r="2227" spans="1:5" x14ac:dyDescent="0.25">
      <c r="A2227" t="s">
        <v>735</v>
      </c>
      <c r="B2227" t="s">
        <v>63</v>
      </c>
      <c r="C2227" s="2">
        <f>HYPERLINK("https://cao.dolgi.msk.ru/account/1050431487/", 1050431487)</f>
        <v>1050431487</v>
      </c>
      <c r="D2227" s="4">
        <v>7402.66</v>
      </c>
      <c r="E2227">
        <v>1.99</v>
      </c>
    </row>
    <row r="2228" spans="1:5" x14ac:dyDescent="0.25">
      <c r="A2228" t="s">
        <v>735</v>
      </c>
      <c r="B2228" t="s">
        <v>78</v>
      </c>
      <c r="C2228" s="2">
        <f>HYPERLINK("https://cao.dolgi.msk.ru/account/1050431655/", 1050431655)</f>
        <v>1050431655</v>
      </c>
      <c r="D2228" s="4">
        <v>7032.88</v>
      </c>
      <c r="E2228">
        <v>1.87</v>
      </c>
    </row>
    <row r="2229" spans="1:5" x14ac:dyDescent="0.25">
      <c r="A2229" t="s">
        <v>735</v>
      </c>
      <c r="B2229" t="s">
        <v>79</v>
      </c>
      <c r="C2229" s="2">
        <f>HYPERLINK("https://cao.dolgi.msk.ru/account/1050431663/", 1050431663)</f>
        <v>1050431663</v>
      </c>
      <c r="D2229" s="4">
        <v>25343</v>
      </c>
      <c r="E2229">
        <v>4.92</v>
      </c>
    </row>
    <row r="2230" spans="1:5" x14ac:dyDescent="0.25">
      <c r="A2230" t="s">
        <v>736</v>
      </c>
      <c r="B2230" t="s">
        <v>8</v>
      </c>
      <c r="C2230" s="2">
        <f>HYPERLINK("https://cao.dolgi.msk.ru/account/1050427293/", 1050427293)</f>
        <v>1050427293</v>
      </c>
      <c r="D2230" s="4">
        <v>7500.23</v>
      </c>
      <c r="E2230">
        <v>1.59</v>
      </c>
    </row>
    <row r="2231" spans="1:5" x14ac:dyDescent="0.25">
      <c r="A2231" t="s">
        <v>736</v>
      </c>
      <c r="B2231" t="s">
        <v>21</v>
      </c>
      <c r="C2231" s="2">
        <f>HYPERLINK("https://cao.dolgi.msk.ru/account/1050427525/", 1050427525)</f>
        <v>1050427525</v>
      </c>
      <c r="D2231" s="4">
        <v>5732.96</v>
      </c>
      <c r="E2231">
        <v>2.1</v>
      </c>
    </row>
    <row r="2232" spans="1:5" x14ac:dyDescent="0.25">
      <c r="A2232" t="s">
        <v>736</v>
      </c>
      <c r="B2232" t="s">
        <v>31</v>
      </c>
      <c r="C2232" s="2">
        <f>HYPERLINK("https://cao.dolgi.msk.ru/account/1050427656/", 1050427656)</f>
        <v>1050427656</v>
      </c>
      <c r="D2232" s="4">
        <v>289611.32</v>
      </c>
      <c r="E2232">
        <v>36.32</v>
      </c>
    </row>
    <row r="2233" spans="1:5" x14ac:dyDescent="0.25">
      <c r="A2233" t="s">
        <v>736</v>
      </c>
      <c r="B2233" t="s">
        <v>41</v>
      </c>
      <c r="C2233" s="2">
        <f>HYPERLINK("https://cao.dolgi.msk.ru/account/1050427787/", 1050427787)</f>
        <v>1050427787</v>
      </c>
      <c r="D2233" s="4">
        <v>8777.86</v>
      </c>
      <c r="E2233">
        <v>2.59</v>
      </c>
    </row>
    <row r="2234" spans="1:5" x14ac:dyDescent="0.25">
      <c r="A2234" t="s">
        <v>736</v>
      </c>
      <c r="B2234" t="s">
        <v>56</v>
      </c>
      <c r="C2234" s="2">
        <f>HYPERLINK("https://cao.dolgi.msk.ru/account/1050428042/", 1050428042)</f>
        <v>1050428042</v>
      </c>
      <c r="D2234" s="4">
        <v>8495.0499999999993</v>
      </c>
      <c r="E2234">
        <v>1.8</v>
      </c>
    </row>
    <row r="2235" spans="1:5" x14ac:dyDescent="0.25">
      <c r="A2235" t="s">
        <v>736</v>
      </c>
      <c r="B2235" t="s">
        <v>59</v>
      </c>
      <c r="C2235" s="2">
        <f>HYPERLINK("https://cao.dolgi.msk.ru/account/1050428106/", 1050428106)</f>
        <v>1050428106</v>
      </c>
      <c r="D2235" s="4">
        <v>9633.67</v>
      </c>
      <c r="E2235">
        <v>2</v>
      </c>
    </row>
    <row r="2236" spans="1:5" x14ac:dyDescent="0.25">
      <c r="A2236" t="s">
        <v>737</v>
      </c>
      <c r="B2236" t="s">
        <v>9</v>
      </c>
      <c r="C2236" s="2">
        <f>HYPERLINK("https://cao.dolgi.msk.ru/account/1050428229/", 1050428229)</f>
        <v>1050428229</v>
      </c>
      <c r="D2236" s="4">
        <v>37244.080000000002</v>
      </c>
      <c r="E2236">
        <v>4.9000000000000004</v>
      </c>
    </row>
    <row r="2237" spans="1:5" x14ac:dyDescent="0.25">
      <c r="A2237" t="s">
        <v>737</v>
      </c>
      <c r="B2237" t="s">
        <v>27</v>
      </c>
      <c r="C2237" s="2">
        <f>HYPERLINK("https://cao.dolgi.msk.ru/account/1050428421/", 1050428421)</f>
        <v>1050428421</v>
      </c>
      <c r="D2237" s="4">
        <v>7122.07</v>
      </c>
      <c r="E2237">
        <v>2.0499999999999998</v>
      </c>
    </row>
    <row r="2238" spans="1:5" x14ac:dyDescent="0.25">
      <c r="A2238" t="s">
        <v>737</v>
      </c>
      <c r="B2238" t="s">
        <v>30</v>
      </c>
      <c r="C2238" s="2">
        <f>HYPERLINK("https://cao.dolgi.msk.ru/account/1050428464/", 1050428464)</f>
        <v>1050428464</v>
      </c>
      <c r="D2238" s="4">
        <v>7964.13</v>
      </c>
      <c r="E2238">
        <v>1.33</v>
      </c>
    </row>
    <row r="2239" spans="1:5" x14ac:dyDescent="0.25">
      <c r="A2239" t="s">
        <v>737</v>
      </c>
      <c r="B2239" t="s">
        <v>40</v>
      </c>
      <c r="C2239" s="2">
        <f>HYPERLINK("https://cao.dolgi.msk.ru/account/1050428595/", 1050428595)</f>
        <v>1050428595</v>
      </c>
      <c r="D2239" s="4">
        <v>8789.19</v>
      </c>
      <c r="E2239">
        <v>2.42</v>
      </c>
    </row>
    <row r="2240" spans="1:5" x14ac:dyDescent="0.25">
      <c r="A2240" t="s">
        <v>737</v>
      </c>
      <c r="B2240" t="s">
        <v>43</v>
      </c>
      <c r="C2240" s="2">
        <f>HYPERLINK("https://cao.dolgi.msk.ru/account/1050428624/", 1050428624)</f>
        <v>1050428624</v>
      </c>
      <c r="D2240" s="4">
        <v>560473.75</v>
      </c>
      <c r="E2240">
        <v>29.25</v>
      </c>
    </row>
    <row r="2241" spans="1:5" x14ac:dyDescent="0.25">
      <c r="A2241" t="s">
        <v>737</v>
      </c>
      <c r="B2241" t="s">
        <v>56</v>
      </c>
      <c r="C2241" s="2">
        <f>HYPERLINK("https://cao.dolgi.msk.ru/account/1050428819/", 1050428819)</f>
        <v>1050428819</v>
      </c>
      <c r="D2241" s="4">
        <v>5992.25</v>
      </c>
      <c r="E2241">
        <v>1.83</v>
      </c>
    </row>
    <row r="2242" spans="1:5" x14ac:dyDescent="0.25">
      <c r="A2242" t="s">
        <v>737</v>
      </c>
      <c r="B2242" t="s">
        <v>65</v>
      </c>
      <c r="C2242" s="2">
        <f>HYPERLINK("https://cao.dolgi.msk.ru/account/1050428915/", 1050428915)</f>
        <v>1050428915</v>
      </c>
      <c r="D2242" s="4">
        <v>106010.42</v>
      </c>
      <c r="E2242">
        <v>61.96</v>
      </c>
    </row>
    <row r="2243" spans="1:5" x14ac:dyDescent="0.25">
      <c r="A2243" t="s">
        <v>738</v>
      </c>
      <c r="B2243" t="s">
        <v>7</v>
      </c>
      <c r="C2243" s="2">
        <f>HYPERLINK("https://cao.dolgi.msk.ru/account/1050690083/", 1050690083)</f>
        <v>1050690083</v>
      </c>
      <c r="D2243" s="4">
        <v>493566.93</v>
      </c>
      <c r="E2243">
        <v>73.88</v>
      </c>
    </row>
    <row r="2244" spans="1:5" x14ac:dyDescent="0.25">
      <c r="A2244" t="s">
        <v>738</v>
      </c>
      <c r="B2244" t="s">
        <v>9</v>
      </c>
      <c r="C2244" s="2">
        <f>HYPERLINK("https://cao.dolgi.msk.ru/account/1050690112/", 1050690112)</f>
        <v>1050690112</v>
      </c>
      <c r="D2244" s="4">
        <v>47707.17</v>
      </c>
      <c r="E2244">
        <v>7.48</v>
      </c>
    </row>
    <row r="2245" spans="1:5" x14ac:dyDescent="0.25">
      <c r="A2245" t="s">
        <v>738</v>
      </c>
      <c r="B2245" t="s">
        <v>39</v>
      </c>
      <c r="C2245" s="2">
        <f>HYPERLINK("https://cao.dolgi.msk.ru/account/1050690489/", 1050690489)</f>
        <v>1050690489</v>
      </c>
      <c r="D2245" s="4">
        <v>9445.86</v>
      </c>
      <c r="E2245">
        <v>2.15</v>
      </c>
    </row>
    <row r="2246" spans="1:5" x14ac:dyDescent="0.25">
      <c r="A2246" t="s">
        <v>738</v>
      </c>
      <c r="B2246" t="s">
        <v>43</v>
      </c>
      <c r="C2246" s="2">
        <f>HYPERLINK("https://cao.dolgi.msk.ru/account/1050690534/", 1050690534)</f>
        <v>1050690534</v>
      </c>
      <c r="D2246" s="4">
        <v>6208.39</v>
      </c>
      <c r="E2246">
        <v>2.04</v>
      </c>
    </row>
    <row r="2247" spans="1:5" x14ac:dyDescent="0.25">
      <c r="A2247" t="s">
        <v>738</v>
      </c>
      <c r="B2247" t="s">
        <v>50</v>
      </c>
      <c r="C2247" s="2">
        <f>HYPERLINK("https://cao.dolgi.msk.ru/account/1050690622/", 1050690622)</f>
        <v>1050690622</v>
      </c>
      <c r="D2247" s="4">
        <v>14061.61</v>
      </c>
      <c r="E2247">
        <v>1.8</v>
      </c>
    </row>
    <row r="2248" spans="1:5" x14ac:dyDescent="0.25">
      <c r="A2248" t="s">
        <v>738</v>
      </c>
      <c r="B2248" t="s">
        <v>56</v>
      </c>
      <c r="C2248" s="2">
        <f>HYPERLINK("https://cao.dolgi.msk.ru/account/1050690702/", 1050690702)</f>
        <v>1050690702</v>
      </c>
      <c r="D2248" s="4">
        <v>7975.08</v>
      </c>
      <c r="E2248">
        <v>1.97</v>
      </c>
    </row>
    <row r="2249" spans="1:5" x14ac:dyDescent="0.25">
      <c r="A2249" t="s">
        <v>738</v>
      </c>
      <c r="B2249" t="s">
        <v>62</v>
      </c>
      <c r="C2249" s="2">
        <f>HYPERLINK("https://cao.dolgi.msk.ru/account/1050690788/", 1050690788)</f>
        <v>1050690788</v>
      </c>
      <c r="D2249" s="4">
        <v>6105.22</v>
      </c>
      <c r="E2249">
        <v>1.02</v>
      </c>
    </row>
    <row r="2250" spans="1:5" x14ac:dyDescent="0.25">
      <c r="A2250" t="s">
        <v>738</v>
      </c>
      <c r="B2250" t="s">
        <v>70</v>
      </c>
      <c r="C2250" s="2">
        <f>HYPERLINK("https://cao.dolgi.msk.ru/account/1058023488/", 1058023488)</f>
        <v>1058023488</v>
      </c>
      <c r="D2250" s="4">
        <v>9064.25</v>
      </c>
      <c r="E2250">
        <v>2.74</v>
      </c>
    </row>
    <row r="2251" spans="1:5" x14ac:dyDescent="0.25">
      <c r="A2251" t="s">
        <v>738</v>
      </c>
      <c r="B2251" t="s">
        <v>78</v>
      </c>
      <c r="C2251" s="2">
        <f>HYPERLINK("https://cao.dolgi.msk.ru/account/1050690964/", 1050690964)</f>
        <v>1050690964</v>
      </c>
      <c r="D2251" s="4">
        <v>9676.33</v>
      </c>
      <c r="E2251">
        <v>2.0099999999999998</v>
      </c>
    </row>
    <row r="2252" spans="1:5" x14ac:dyDescent="0.25">
      <c r="A2252" t="s">
        <v>739</v>
      </c>
      <c r="B2252" t="s">
        <v>27</v>
      </c>
      <c r="C2252" s="2">
        <f>HYPERLINK("https://cao.dolgi.msk.ru/account/1050693364/", 1050693364)</f>
        <v>1050693364</v>
      </c>
      <c r="D2252" s="4">
        <v>16258.82</v>
      </c>
      <c r="E2252">
        <v>3.25</v>
      </c>
    </row>
    <row r="2253" spans="1:5" x14ac:dyDescent="0.25">
      <c r="A2253" t="s">
        <v>739</v>
      </c>
      <c r="B2253" t="s">
        <v>29</v>
      </c>
      <c r="C2253" s="2">
        <f>HYPERLINK("https://cao.dolgi.msk.ru/account/1050693399/", 1050693399)</f>
        <v>1050693399</v>
      </c>
      <c r="D2253" s="4">
        <v>5457.28</v>
      </c>
      <c r="E2253">
        <v>1.02</v>
      </c>
    </row>
    <row r="2254" spans="1:5" x14ac:dyDescent="0.25">
      <c r="A2254" t="s">
        <v>740</v>
      </c>
      <c r="B2254" t="s">
        <v>55</v>
      </c>
      <c r="C2254" s="2">
        <f>HYPERLINK("https://cao.dolgi.msk.ru/account/1050694455/", 1050694455)</f>
        <v>1050694455</v>
      </c>
      <c r="D2254" s="4">
        <v>9812.7800000000007</v>
      </c>
      <c r="E2254">
        <v>2.41</v>
      </c>
    </row>
    <row r="2255" spans="1:5" x14ac:dyDescent="0.25">
      <c r="A2255" t="s">
        <v>741</v>
      </c>
      <c r="B2255" t="s">
        <v>18</v>
      </c>
      <c r="C2255" s="2">
        <f>HYPERLINK("https://cao.dolgi.msk.ru/account/1050692249/", 1050692249)</f>
        <v>1050692249</v>
      </c>
      <c r="D2255" s="4">
        <v>5752.16</v>
      </c>
      <c r="E2255">
        <v>1.83</v>
      </c>
    </row>
    <row r="2256" spans="1:5" x14ac:dyDescent="0.25">
      <c r="A2256" t="s">
        <v>741</v>
      </c>
      <c r="B2256" t="s">
        <v>38</v>
      </c>
      <c r="C2256" s="2">
        <f>HYPERLINK("https://cao.dolgi.msk.ru/account/1050692484/", 1050692484)</f>
        <v>1050692484</v>
      </c>
      <c r="D2256" s="4">
        <v>23159.37</v>
      </c>
      <c r="E2256">
        <v>3.56</v>
      </c>
    </row>
    <row r="2257" spans="1:5" x14ac:dyDescent="0.25">
      <c r="A2257" t="s">
        <v>741</v>
      </c>
      <c r="B2257" t="s">
        <v>47</v>
      </c>
      <c r="C2257" s="2">
        <f>HYPERLINK("https://cao.dolgi.msk.ru/account/1058020455/", 1058020455)</f>
        <v>1058020455</v>
      </c>
      <c r="D2257" s="4">
        <v>11339.43</v>
      </c>
      <c r="E2257">
        <v>2.0699999999999998</v>
      </c>
    </row>
    <row r="2258" spans="1:5" x14ac:dyDescent="0.25">
      <c r="A2258" t="s">
        <v>741</v>
      </c>
      <c r="B2258" t="s">
        <v>48</v>
      </c>
      <c r="C2258" s="2">
        <f>HYPERLINK("https://cao.dolgi.msk.ru/account/1050692636/", 1050692636)</f>
        <v>1050692636</v>
      </c>
      <c r="D2258" s="4">
        <v>6090.84</v>
      </c>
      <c r="E2258">
        <v>1.18</v>
      </c>
    </row>
    <row r="2259" spans="1:5" x14ac:dyDescent="0.25">
      <c r="A2259" t="s">
        <v>742</v>
      </c>
      <c r="B2259" t="s">
        <v>19</v>
      </c>
      <c r="C2259" s="2">
        <f>HYPERLINK("https://cao.dolgi.msk.ru/account/1050691238/", 1050691238)</f>
        <v>1050691238</v>
      </c>
      <c r="D2259" s="4">
        <v>7071.84</v>
      </c>
      <c r="E2259">
        <v>1.55</v>
      </c>
    </row>
    <row r="2260" spans="1:5" x14ac:dyDescent="0.25">
      <c r="A2260" t="s">
        <v>742</v>
      </c>
      <c r="B2260" t="s">
        <v>32</v>
      </c>
      <c r="C2260" s="2">
        <f>HYPERLINK("https://cao.dolgi.msk.ru/account/1050691385/", 1050691385)</f>
        <v>1050691385</v>
      </c>
      <c r="D2260" s="4">
        <v>9333.7199999999993</v>
      </c>
      <c r="E2260">
        <v>1.96</v>
      </c>
    </row>
    <row r="2261" spans="1:5" x14ac:dyDescent="0.25">
      <c r="A2261" t="s">
        <v>742</v>
      </c>
      <c r="B2261" t="s">
        <v>38</v>
      </c>
      <c r="C2261" s="2">
        <f>HYPERLINK("https://cao.dolgi.msk.ru/account/1050691457/", 1050691457)</f>
        <v>1050691457</v>
      </c>
      <c r="D2261" s="4">
        <v>8433.64</v>
      </c>
      <c r="E2261">
        <v>1.29</v>
      </c>
    </row>
    <row r="2262" spans="1:5" x14ac:dyDescent="0.25">
      <c r="A2262" t="s">
        <v>743</v>
      </c>
      <c r="B2262" t="s">
        <v>19</v>
      </c>
      <c r="C2262" s="2">
        <f>HYPERLINK("https://cao.dolgi.msk.ru/account/1050683342/", 1050683342)</f>
        <v>1050683342</v>
      </c>
      <c r="D2262" s="4">
        <v>14717.64</v>
      </c>
      <c r="E2262">
        <v>2</v>
      </c>
    </row>
    <row r="2263" spans="1:5" x14ac:dyDescent="0.25">
      <c r="A2263" t="s">
        <v>743</v>
      </c>
      <c r="B2263" t="s">
        <v>43</v>
      </c>
      <c r="C2263" s="2">
        <f>HYPERLINK("https://cao.dolgi.msk.ru/account/1050683684/", 1050683684)</f>
        <v>1050683684</v>
      </c>
      <c r="D2263" s="4">
        <v>8754.8799999999992</v>
      </c>
      <c r="E2263">
        <v>2</v>
      </c>
    </row>
    <row r="2264" spans="1:5" x14ac:dyDescent="0.25">
      <c r="A2264" t="s">
        <v>744</v>
      </c>
      <c r="B2264" t="s">
        <v>7</v>
      </c>
      <c r="C2264" s="2">
        <f>HYPERLINK("https://cao.dolgi.msk.ru/account/1050683828/", 1050683828)</f>
        <v>1050683828</v>
      </c>
      <c r="D2264" s="4">
        <v>14949.01</v>
      </c>
      <c r="E2264">
        <v>1.94</v>
      </c>
    </row>
    <row r="2265" spans="1:5" x14ac:dyDescent="0.25">
      <c r="A2265" t="s">
        <v>744</v>
      </c>
      <c r="B2265" t="s">
        <v>31</v>
      </c>
      <c r="C2265" s="2">
        <f>HYPERLINK("https://cao.dolgi.msk.ru/account/1050684222/", 1050684222)</f>
        <v>1050684222</v>
      </c>
      <c r="D2265" s="4">
        <v>10338.709999999999</v>
      </c>
      <c r="E2265">
        <v>1.31</v>
      </c>
    </row>
    <row r="2266" spans="1:5" x14ac:dyDescent="0.25">
      <c r="A2266" t="s">
        <v>744</v>
      </c>
      <c r="B2266" t="s">
        <v>44</v>
      </c>
      <c r="C2266" s="2">
        <f>HYPERLINK("https://cao.dolgi.msk.ru/account/1050684425/", 1050684425)</f>
        <v>1050684425</v>
      </c>
      <c r="D2266" s="4">
        <v>11615.31</v>
      </c>
      <c r="E2266">
        <v>1.03</v>
      </c>
    </row>
    <row r="2267" spans="1:5" x14ac:dyDescent="0.25">
      <c r="A2267" t="s">
        <v>744</v>
      </c>
      <c r="B2267" t="s">
        <v>45</v>
      </c>
      <c r="C2267" s="2">
        <f>HYPERLINK("https://cao.dolgi.msk.ru/account/1050684433/", 1050684433)</f>
        <v>1050684433</v>
      </c>
      <c r="D2267" s="4">
        <v>7884.73</v>
      </c>
      <c r="E2267">
        <v>1.92</v>
      </c>
    </row>
    <row r="2268" spans="1:5" x14ac:dyDescent="0.25">
      <c r="A2268" t="s">
        <v>744</v>
      </c>
      <c r="B2268" t="s">
        <v>51</v>
      </c>
      <c r="C2268" s="2">
        <f>HYPERLINK("https://cao.dolgi.msk.ru/account/1050684564/", 1050684564)</f>
        <v>1050684564</v>
      </c>
      <c r="D2268" s="4">
        <v>21418.85</v>
      </c>
      <c r="E2268">
        <v>4.2</v>
      </c>
    </row>
    <row r="2269" spans="1:5" x14ac:dyDescent="0.25">
      <c r="A2269" t="s">
        <v>745</v>
      </c>
      <c r="B2269" t="s">
        <v>8</v>
      </c>
      <c r="C2269" s="2">
        <f>HYPERLINK("https://cao.dolgi.msk.ru/account/1050684636/", 1050684636)</f>
        <v>1050684636</v>
      </c>
      <c r="D2269" s="4">
        <v>11450.45</v>
      </c>
      <c r="E2269">
        <v>2.82</v>
      </c>
    </row>
    <row r="2270" spans="1:5" x14ac:dyDescent="0.25">
      <c r="A2270" t="s">
        <v>745</v>
      </c>
      <c r="B2270" t="s">
        <v>93</v>
      </c>
      <c r="C2270" s="2">
        <f>HYPERLINK("https://cao.dolgi.msk.ru/account/1050684767/", 1050684767)</f>
        <v>1050684767</v>
      </c>
      <c r="D2270" s="4">
        <v>74849.210000000006</v>
      </c>
      <c r="E2270">
        <v>8.99</v>
      </c>
    </row>
    <row r="2271" spans="1:5" x14ac:dyDescent="0.25">
      <c r="A2271" t="s">
        <v>745</v>
      </c>
      <c r="B2271" t="s">
        <v>32</v>
      </c>
      <c r="C2271" s="2">
        <f>HYPERLINK("https://cao.dolgi.msk.ru/account/1050684927/", 1050684927)</f>
        <v>1050684927</v>
      </c>
      <c r="D2271" s="4">
        <v>8261.91</v>
      </c>
      <c r="E2271">
        <v>1.29</v>
      </c>
    </row>
    <row r="2272" spans="1:5" x14ac:dyDescent="0.25">
      <c r="A2272" t="s">
        <v>745</v>
      </c>
      <c r="B2272" t="s">
        <v>35</v>
      </c>
      <c r="C2272" s="2">
        <f>HYPERLINK("https://cao.dolgi.msk.ru/account/1050684951/", 1050684951)</f>
        <v>1050684951</v>
      </c>
      <c r="D2272" s="4">
        <v>28622.23</v>
      </c>
      <c r="E2272">
        <v>6.32</v>
      </c>
    </row>
    <row r="2273" spans="1:5" x14ac:dyDescent="0.25">
      <c r="A2273" t="s">
        <v>745</v>
      </c>
      <c r="B2273" t="s">
        <v>37</v>
      </c>
      <c r="C2273" s="2">
        <f>HYPERLINK("https://cao.dolgi.msk.ru/account/1050684986/", 1050684986)</f>
        <v>1050684986</v>
      </c>
      <c r="D2273" s="4">
        <v>7424.78</v>
      </c>
      <c r="E2273">
        <v>2</v>
      </c>
    </row>
    <row r="2274" spans="1:5" x14ac:dyDescent="0.25">
      <c r="A2274" t="s">
        <v>745</v>
      </c>
      <c r="B2274" t="s">
        <v>54</v>
      </c>
      <c r="C2274" s="2">
        <f>HYPERLINK("https://cao.dolgi.msk.ru/account/1050685225/", 1050685225)</f>
        <v>1050685225</v>
      </c>
      <c r="D2274" s="4">
        <v>5047.7700000000004</v>
      </c>
      <c r="E2274">
        <v>1.82</v>
      </c>
    </row>
    <row r="2275" spans="1:5" x14ac:dyDescent="0.25">
      <c r="A2275" t="s">
        <v>746</v>
      </c>
      <c r="B2275" t="s">
        <v>10</v>
      </c>
      <c r="C2275" s="2">
        <f>HYPERLINK("https://cao.dolgi.msk.ru/account/1057116105/", 1057116105)</f>
        <v>1057116105</v>
      </c>
      <c r="D2275" s="4">
        <v>5206.1000000000004</v>
      </c>
      <c r="E2275">
        <v>1.41</v>
      </c>
    </row>
    <row r="2276" spans="1:5" x14ac:dyDescent="0.25">
      <c r="A2276" t="s">
        <v>746</v>
      </c>
      <c r="B2276" t="s">
        <v>15</v>
      </c>
      <c r="C2276" s="2">
        <f>HYPERLINK("https://cao.dolgi.msk.ru/account/1058145397/", 1058145397)</f>
        <v>1058145397</v>
      </c>
      <c r="D2276" s="4">
        <v>318906.31</v>
      </c>
      <c r="E2276">
        <v>29.5</v>
      </c>
    </row>
    <row r="2277" spans="1:5" x14ac:dyDescent="0.25">
      <c r="A2277" t="s">
        <v>746</v>
      </c>
      <c r="B2277" t="s">
        <v>18</v>
      </c>
      <c r="C2277" s="2">
        <f>HYPERLINK("https://cao.dolgi.msk.ru/account/1057123102/", 1057123102)</f>
        <v>1057123102</v>
      </c>
      <c r="D2277" s="4">
        <v>86480.52</v>
      </c>
      <c r="E2277">
        <v>9.5500000000000007</v>
      </c>
    </row>
    <row r="2278" spans="1:5" x14ac:dyDescent="0.25">
      <c r="A2278" t="s">
        <v>746</v>
      </c>
      <c r="B2278" t="s">
        <v>31</v>
      </c>
      <c r="C2278" s="2">
        <f>HYPERLINK("https://cao.dolgi.msk.ru/account/1057116316/", 1057116316)</f>
        <v>1057116316</v>
      </c>
      <c r="D2278" s="4">
        <v>461348.17</v>
      </c>
      <c r="E2278">
        <v>41.43</v>
      </c>
    </row>
    <row r="2279" spans="1:5" x14ac:dyDescent="0.25">
      <c r="A2279" t="s">
        <v>746</v>
      </c>
      <c r="B2279" t="s">
        <v>42</v>
      </c>
      <c r="C2279" s="2">
        <f>HYPERLINK("https://cao.dolgi.msk.ru/account/1057116527/", 1057116527)</f>
        <v>1057116527</v>
      </c>
      <c r="D2279" s="4">
        <v>6764.9</v>
      </c>
      <c r="E2279">
        <v>1.45</v>
      </c>
    </row>
    <row r="2280" spans="1:5" x14ac:dyDescent="0.25">
      <c r="A2280" t="s">
        <v>746</v>
      </c>
      <c r="B2280" t="s">
        <v>95</v>
      </c>
      <c r="C2280" s="2">
        <f>HYPERLINK("https://cao.dolgi.msk.ru/account/1057116594/", 1057116594)</f>
        <v>1057116594</v>
      </c>
      <c r="D2280" s="4">
        <v>6551.72</v>
      </c>
      <c r="E2280">
        <v>1.92</v>
      </c>
    </row>
    <row r="2281" spans="1:5" x14ac:dyDescent="0.25">
      <c r="A2281" t="s">
        <v>746</v>
      </c>
      <c r="B2281" t="s">
        <v>48</v>
      </c>
      <c r="C2281" s="2">
        <f>HYPERLINK("https://cao.dolgi.msk.ru/account/1057116607/", 1057116607)</f>
        <v>1057116607</v>
      </c>
      <c r="D2281" s="4">
        <v>7738.32</v>
      </c>
      <c r="E2281">
        <v>2.02</v>
      </c>
    </row>
    <row r="2282" spans="1:5" x14ac:dyDescent="0.25">
      <c r="A2282" t="s">
        <v>746</v>
      </c>
      <c r="B2282" t="s">
        <v>83</v>
      </c>
      <c r="C2282" s="2">
        <f>HYPERLINK("https://cao.dolgi.msk.ru/account/1057116957/", 1057116957)</f>
        <v>1057116957</v>
      </c>
      <c r="D2282" s="4">
        <v>16689.61</v>
      </c>
      <c r="E2282">
        <v>2.95</v>
      </c>
    </row>
    <row r="2283" spans="1:5" x14ac:dyDescent="0.25">
      <c r="A2283" t="s">
        <v>746</v>
      </c>
      <c r="B2283" t="s">
        <v>89</v>
      </c>
      <c r="C2283" s="2">
        <f>HYPERLINK("https://cao.dolgi.msk.ru/account/1057123276/", 1057123276)</f>
        <v>1057123276</v>
      </c>
      <c r="D2283" s="4">
        <v>7654.56</v>
      </c>
      <c r="E2283">
        <v>1.73</v>
      </c>
    </row>
    <row r="2284" spans="1:5" x14ac:dyDescent="0.25">
      <c r="A2284" t="s">
        <v>747</v>
      </c>
      <c r="B2284" t="s">
        <v>6</v>
      </c>
      <c r="C2284" s="2">
        <f>HYPERLINK("https://cao.dolgi.msk.ru/account/1059023498/", 1059023498)</f>
        <v>1059023498</v>
      </c>
      <c r="D2284" s="4">
        <v>27176.25</v>
      </c>
      <c r="E2284">
        <v>1.97</v>
      </c>
    </row>
    <row r="2285" spans="1:5" x14ac:dyDescent="0.25">
      <c r="A2285" t="s">
        <v>747</v>
      </c>
      <c r="B2285" t="s">
        <v>16</v>
      </c>
      <c r="C2285" s="2">
        <f>HYPERLINK("https://cao.dolgi.msk.ru/account/1059023658/", 1059023658)</f>
        <v>1059023658</v>
      </c>
      <c r="D2285" s="4">
        <v>36927.14</v>
      </c>
      <c r="E2285">
        <v>7.1</v>
      </c>
    </row>
    <row r="2286" spans="1:5" x14ac:dyDescent="0.25">
      <c r="A2286" t="s">
        <v>747</v>
      </c>
      <c r="B2286" t="s">
        <v>93</v>
      </c>
      <c r="C2286" s="2">
        <f>HYPERLINK("https://cao.dolgi.msk.ru/account/1059023746/", 1059023746)</f>
        <v>1059023746</v>
      </c>
      <c r="D2286" s="4">
        <v>10969.09</v>
      </c>
      <c r="E2286">
        <v>1.74</v>
      </c>
    </row>
    <row r="2287" spans="1:5" x14ac:dyDescent="0.25">
      <c r="A2287" t="s">
        <v>747</v>
      </c>
      <c r="B2287" t="s">
        <v>23</v>
      </c>
      <c r="C2287" s="2">
        <f>HYPERLINK("https://cao.dolgi.msk.ru/account/1059023818/", 1059023818)</f>
        <v>1059023818</v>
      </c>
      <c r="D2287" s="4">
        <v>13827.9</v>
      </c>
      <c r="E2287">
        <v>1.96</v>
      </c>
    </row>
    <row r="2288" spans="1:5" x14ac:dyDescent="0.25">
      <c r="A2288" t="s">
        <v>747</v>
      </c>
      <c r="B2288" t="s">
        <v>51</v>
      </c>
      <c r="C2288" s="2">
        <f>HYPERLINK("https://cao.dolgi.msk.ru/account/1059024167/", 1059024167)</f>
        <v>1059024167</v>
      </c>
      <c r="D2288" s="4">
        <v>8412.01</v>
      </c>
      <c r="E2288">
        <v>1.31</v>
      </c>
    </row>
    <row r="2289" spans="1:5" x14ac:dyDescent="0.25">
      <c r="A2289" t="s">
        <v>748</v>
      </c>
      <c r="B2289" t="s">
        <v>11</v>
      </c>
      <c r="C2289" s="2">
        <f>HYPERLINK("https://cao.dolgi.msk.ru/account/1050433642/", 1050433642)</f>
        <v>1050433642</v>
      </c>
      <c r="D2289" s="4">
        <v>6119.63</v>
      </c>
      <c r="E2289">
        <v>1.61</v>
      </c>
    </row>
    <row r="2290" spans="1:5" x14ac:dyDescent="0.25">
      <c r="A2290" t="s">
        <v>748</v>
      </c>
      <c r="B2290" t="s">
        <v>24</v>
      </c>
      <c r="C2290" s="2">
        <f>HYPERLINK("https://cao.dolgi.msk.ru/account/1050433861/", 1050433861)</f>
        <v>1050433861</v>
      </c>
      <c r="D2290" s="4">
        <v>20937.68</v>
      </c>
      <c r="E2290">
        <v>2.79</v>
      </c>
    </row>
    <row r="2291" spans="1:5" x14ac:dyDescent="0.25">
      <c r="A2291" t="s">
        <v>748</v>
      </c>
      <c r="B2291" t="s">
        <v>59</v>
      </c>
      <c r="C2291" s="2">
        <f>HYPERLINK("https://cao.dolgi.msk.ru/account/1050434565/", 1050434565)</f>
        <v>1050434565</v>
      </c>
      <c r="D2291" s="4">
        <v>7091.52</v>
      </c>
      <c r="E2291">
        <v>1.2</v>
      </c>
    </row>
    <row r="2292" spans="1:5" x14ac:dyDescent="0.25">
      <c r="A2292" t="s">
        <v>748</v>
      </c>
      <c r="B2292" t="s">
        <v>70</v>
      </c>
      <c r="C2292" s="2">
        <f>HYPERLINK("https://cao.dolgi.msk.ru/account/1050434717/", 1050434717)</f>
        <v>1050434717</v>
      </c>
      <c r="D2292" s="4">
        <v>11131.02</v>
      </c>
      <c r="E2292">
        <v>1.93</v>
      </c>
    </row>
    <row r="2293" spans="1:5" x14ac:dyDescent="0.25">
      <c r="A2293" t="s">
        <v>749</v>
      </c>
      <c r="B2293" t="s">
        <v>24</v>
      </c>
      <c r="C2293" s="2">
        <f>HYPERLINK("https://cao.dolgi.msk.ru/account/1050445424/", 1050445424)</f>
        <v>1050445424</v>
      </c>
      <c r="D2293" s="4">
        <v>9657.15</v>
      </c>
      <c r="E2293">
        <v>1.67</v>
      </c>
    </row>
    <row r="2294" spans="1:5" x14ac:dyDescent="0.25">
      <c r="A2294" t="s">
        <v>749</v>
      </c>
      <c r="B2294" t="s">
        <v>33</v>
      </c>
      <c r="C2294" s="2">
        <f>HYPERLINK("https://cao.dolgi.msk.ru/account/1050445491/", 1050445491)</f>
        <v>1050445491</v>
      </c>
      <c r="D2294" s="4">
        <v>73923.990000000005</v>
      </c>
      <c r="E2294">
        <v>9.02</v>
      </c>
    </row>
    <row r="2295" spans="1:5" x14ac:dyDescent="0.25">
      <c r="A2295" t="s">
        <v>749</v>
      </c>
      <c r="B2295" t="s">
        <v>47</v>
      </c>
      <c r="C2295" s="2">
        <f>HYPERLINK("https://cao.dolgi.msk.ru/account/1050445715/", 1050445715)</f>
        <v>1050445715</v>
      </c>
      <c r="D2295" s="4">
        <v>9064.0400000000009</v>
      </c>
      <c r="E2295">
        <v>1.96</v>
      </c>
    </row>
    <row r="2296" spans="1:5" x14ac:dyDescent="0.25">
      <c r="A2296" t="s">
        <v>749</v>
      </c>
      <c r="B2296" t="s">
        <v>80</v>
      </c>
      <c r="C2296" s="2">
        <f>HYPERLINK("https://cao.dolgi.msk.ru/account/1050446232/", 1050446232)</f>
        <v>1050446232</v>
      </c>
      <c r="D2296" s="4">
        <v>264789.28000000003</v>
      </c>
      <c r="E2296">
        <v>34.81</v>
      </c>
    </row>
    <row r="2297" spans="1:5" x14ac:dyDescent="0.25">
      <c r="A2297" t="s">
        <v>749</v>
      </c>
      <c r="B2297" t="s">
        <v>112</v>
      </c>
      <c r="C2297" s="2">
        <f>HYPERLINK("https://cao.dolgi.msk.ru/account/1058147771/", 1058147771)</f>
        <v>1058147771</v>
      </c>
      <c r="D2297" s="4">
        <v>19614.72</v>
      </c>
      <c r="E2297">
        <v>2</v>
      </c>
    </row>
    <row r="2298" spans="1:5" x14ac:dyDescent="0.25">
      <c r="A2298" t="s">
        <v>749</v>
      </c>
      <c r="B2298" t="s">
        <v>116</v>
      </c>
      <c r="C2298" s="2">
        <f>HYPERLINK("https://cao.dolgi.msk.ru/account/1050446697/", 1050446697)</f>
        <v>1050446697</v>
      </c>
      <c r="D2298" s="4">
        <v>7977.56</v>
      </c>
      <c r="E2298">
        <v>1.89</v>
      </c>
    </row>
    <row r="2299" spans="1:5" x14ac:dyDescent="0.25">
      <c r="A2299" t="s">
        <v>750</v>
      </c>
      <c r="B2299" t="s">
        <v>17</v>
      </c>
      <c r="C2299" s="2">
        <f>HYPERLINK("https://cao.dolgi.msk.ru/account/1050443269/", 1050443269)</f>
        <v>1050443269</v>
      </c>
      <c r="D2299" s="4">
        <v>14447.92</v>
      </c>
      <c r="E2299">
        <v>1.98</v>
      </c>
    </row>
    <row r="2300" spans="1:5" x14ac:dyDescent="0.25">
      <c r="A2300" t="s">
        <v>750</v>
      </c>
      <c r="B2300" t="s">
        <v>24</v>
      </c>
      <c r="C2300" s="2">
        <f>HYPERLINK("https://cao.dolgi.msk.ru/account/1050443402/", 1050443402)</f>
        <v>1050443402</v>
      </c>
      <c r="D2300" s="4">
        <v>42138.31</v>
      </c>
      <c r="E2300">
        <v>5.63</v>
      </c>
    </row>
    <row r="2301" spans="1:5" x14ac:dyDescent="0.25">
      <c r="A2301" t="s">
        <v>750</v>
      </c>
      <c r="B2301" t="s">
        <v>33</v>
      </c>
      <c r="C2301" s="2">
        <f>HYPERLINK("https://cao.dolgi.msk.ru/account/1050443461/", 1050443461)</f>
        <v>1050443461</v>
      </c>
      <c r="D2301" s="4">
        <v>22128.73</v>
      </c>
      <c r="E2301">
        <v>2.11</v>
      </c>
    </row>
    <row r="2302" spans="1:5" x14ac:dyDescent="0.25">
      <c r="A2302" t="s">
        <v>750</v>
      </c>
      <c r="B2302" t="s">
        <v>54</v>
      </c>
      <c r="C2302" s="2">
        <f>HYPERLINK("https://cao.dolgi.msk.ru/account/1050443808/", 1050443808)</f>
        <v>1050443808</v>
      </c>
      <c r="D2302" s="4">
        <v>20169.41</v>
      </c>
      <c r="E2302">
        <v>1.48</v>
      </c>
    </row>
    <row r="2303" spans="1:5" x14ac:dyDescent="0.25">
      <c r="A2303" t="s">
        <v>750</v>
      </c>
      <c r="B2303" t="s">
        <v>55</v>
      </c>
      <c r="C2303" s="2">
        <f>HYPERLINK("https://cao.dolgi.msk.ru/account/1050443824/", 1050443824)</f>
        <v>1050443824</v>
      </c>
      <c r="D2303" s="4">
        <v>22172.560000000001</v>
      </c>
      <c r="E2303">
        <v>2</v>
      </c>
    </row>
    <row r="2304" spans="1:5" x14ac:dyDescent="0.25">
      <c r="A2304" t="s">
        <v>750</v>
      </c>
      <c r="B2304" t="s">
        <v>57</v>
      </c>
      <c r="C2304" s="2">
        <f>HYPERLINK("https://cao.dolgi.msk.ru/account/1050443859/", 1050443859)</f>
        <v>1050443859</v>
      </c>
      <c r="D2304" s="4">
        <v>74721.16</v>
      </c>
      <c r="E2304">
        <v>15.91</v>
      </c>
    </row>
    <row r="2305" spans="1:5" x14ac:dyDescent="0.25">
      <c r="A2305" t="s">
        <v>750</v>
      </c>
      <c r="B2305" t="s">
        <v>58</v>
      </c>
      <c r="C2305" s="2">
        <f>HYPERLINK("https://cao.dolgi.msk.ru/account/1050443867/", 1050443867)</f>
        <v>1050443867</v>
      </c>
      <c r="D2305" s="4">
        <v>21526.14</v>
      </c>
      <c r="E2305">
        <v>2.12</v>
      </c>
    </row>
    <row r="2306" spans="1:5" x14ac:dyDescent="0.25">
      <c r="A2306" t="s">
        <v>750</v>
      </c>
      <c r="B2306" t="s">
        <v>64</v>
      </c>
      <c r="C2306" s="2">
        <f>HYPERLINK("https://cao.dolgi.msk.ru/account/1050443947/", 1050443947)</f>
        <v>1050443947</v>
      </c>
      <c r="D2306" s="4">
        <v>15301.59</v>
      </c>
      <c r="E2306">
        <v>2.77</v>
      </c>
    </row>
    <row r="2307" spans="1:5" x14ac:dyDescent="0.25">
      <c r="A2307" t="s">
        <v>750</v>
      </c>
      <c r="B2307" t="s">
        <v>66</v>
      </c>
      <c r="C2307" s="2">
        <f>HYPERLINK("https://cao.dolgi.msk.ru/account/1050443971/", 1050443971)</f>
        <v>1050443971</v>
      </c>
      <c r="D2307" s="4">
        <v>25041.8</v>
      </c>
      <c r="E2307">
        <v>3.79</v>
      </c>
    </row>
    <row r="2308" spans="1:5" x14ac:dyDescent="0.25">
      <c r="A2308" t="s">
        <v>750</v>
      </c>
      <c r="B2308" t="s">
        <v>72</v>
      </c>
      <c r="C2308" s="2">
        <f>HYPERLINK("https://cao.dolgi.msk.ru/account/1050444018/", 1050444018)</f>
        <v>1050444018</v>
      </c>
      <c r="D2308" s="4">
        <v>59202.9</v>
      </c>
      <c r="E2308">
        <v>12.05</v>
      </c>
    </row>
    <row r="2309" spans="1:5" x14ac:dyDescent="0.25">
      <c r="A2309" t="s">
        <v>750</v>
      </c>
      <c r="B2309" t="s">
        <v>111</v>
      </c>
      <c r="C2309" s="2">
        <f>HYPERLINK("https://cao.dolgi.msk.ru/account/1050444456/", 1050444456)</f>
        <v>1050444456</v>
      </c>
      <c r="D2309" s="4">
        <v>15952.95</v>
      </c>
      <c r="E2309">
        <v>1.98</v>
      </c>
    </row>
    <row r="2310" spans="1:5" x14ac:dyDescent="0.25">
      <c r="A2310" t="s">
        <v>750</v>
      </c>
      <c r="B2310" t="s">
        <v>113</v>
      </c>
      <c r="C2310" s="2">
        <f>HYPERLINK("https://cao.dolgi.msk.ru/account/1050444499/", 1050444499)</f>
        <v>1050444499</v>
      </c>
      <c r="D2310" s="4">
        <v>16559.68</v>
      </c>
      <c r="E2310">
        <v>3.29</v>
      </c>
    </row>
    <row r="2311" spans="1:5" x14ac:dyDescent="0.25">
      <c r="A2311" t="s">
        <v>751</v>
      </c>
      <c r="B2311" t="s">
        <v>8</v>
      </c>
      <c r="C2311" s="2">
        <f>HYPERLINK("https://cao.dolgi.msk.ru/account/1050671464/", 1050671464)</f>
        <v>1050671464</v>
      </c>
      <c r="D2311" s="4">
        <v>10497.24</v>
      </c>
      <c r="E2311">
        <v>1.73</v>
      </c>
    </row>
    <row r="2312" spans="1:5" x14ac:dyDescent="0.25">
      <c r="A2312" t="s">
        <v>751</v>
      </c>
      <c r="B2312" t="s">
        <v>18</v>
      </c>
      <c r="C2312" s="2">
        <f>HYPERLINK("https://cao.dolgi.msk.ru/account/1050671595/", 1050671595)</f>
        <v>1050671595</v>
      </c>
      <c r="D2312" s="4">
        <v>9569.31</v>
      </c>
      <c r="E2312">
        <v>1.47</v>
      </c>
    </row>
    <row r="2313" spans="1:5" x14ac:dyDescent="0.25">
      <c r="A2313" t="s">
        <v>751</v>
      </c>
      <c r="B2313" t="s">
        <v>19</v>
      </c>
      <c r="C2313" s="2">
        <f>HYPERLINK("https://cao.dolgi.msk.ru/account/1050671616/", 1050671616)</f>
        <v>1050671616</v>
      </c>
      <c r="D2313" s="4">
        <v>349176.79</v>
      </c>
      <c r="E2313">
        <v>39.090000000000003</v>
      </c>
    </row>
    <row r="2314" spans="1:5" x14ac:dyDescent="0.25">
      <c r="A2314" t="s">
        <v>751</v>
      </c>
      <c r="B2314" t="s">
        <v>55</v>
      </c>
      <c r="C2314" s="2">
        <f>HYPERLINK("https://cao.dolgi.msk.ru/account/1050672088/", 1050672088)</f>
        <v>1050672088</v>
      </c>
      <c r="D2314" s="4">
        <v>15586.98</v>
      </c>
      <c r="E2314">
        <v>1.71</v>
      </c>
    </row>
    <row r="2315" spans="1:5" x14ac:dyDescent="0.25">
      <c r="A2315" t="s">
        <v>751</v>
      </c>
      <c r="B2315" t="s">
        <v>60</v>
      </c>
      <c r="C2315" s="2">
        <f>HYPERLINK("https://cao.dolgi.msk.ru/account/1050672133/", 1050672133)</f>
        <v>1050672133</v>
      </c>
      <c r="D2315" s="4">
        <v>21061.65</v>
      </c>
      <c r="E2315">
        <v>5.24</v>
      </c>
    </row>
    <row r="2316" spans="1:5" x14ac:dyDescent="0.25">
      <c r="A2316" t="s">
        <v>751</v>
      </c>
      <c r="B2316" t="s">
        <v>70</v>
      </c>
      <c r="C2316" s="2">
        <f>HYPERLINK("https://cao.dolgi.msk.ru/account/1050672256/", 1050672256)</f>
        <v>1050672256</v>
      </c>
      <c r="D2316" s="4">
        <v>13504.66</v>
      </c>
      <c r="E2316">
        <v>2</v>
      </c>
    </row>
    <row r="2317" spans="1:5" x14ac:dyDescent="0.25">
      <c r="A2317" t="s">
        <v>751</v>
      </c>
      <c r="B2317" t="s">
        <v>77</v>
      </c>
      <c r="C2317" s="2">
        <f>HYPERLINK("https://cao.dolgi.msk.ru/account/1050672379/", 1050672379)</f>
        <v>1050672379</v>
      </c>
      <c r="D2317" s="4">
        <v>13255.49</v>
      </c>
      <c r="E2317">
        <v>1.01</v>
      </c>
    </row>
    <row r="2318" spans="1:5" x14ac:dyDescent="0.25">
      <c r="A2318" t="s">
        <v>752</v>
      </c>
      <c r="B2318" t="s">
        <v>23</v>
      </c>
      <c r="C2318" s="2">
        <f>HYPERLINK("https://cao.dolgi.msk.ru/account/1050448078/", 1050448078)</f>
        <v>1050448078</v>
      </c>
      <c r="D2318" s="4">
        <v>34791.61</v>
      </c>
      <c r="E2318">
        <v>3.2</v>
      </c>
    </row>
    <row r="2319" spans="1:5" x14ac:dyDescent="0.25">
      <c r="A2319" t="s">
        <v>752</v>
      </c>
      <c r="B2319" t="s">
        <v>26</v>
      </c>
      <c r="C2319" s="2">
        <f>HYPERLINK("https://cao.dolgi.msk.ru/account/1050448123/", 1050448123)</f>
        <v>1050448123</v>
      </c>
      <c r="D2319" s="4">
        <v>146001.78</v>
      </c>
      <c r="E2319">
        <v>9.9</v>
      </c>
    </row>
    <row r="2320" spans="1:5" x14ac:dyDescent="0.25">
      <c r="A2320" t="s">
        <v>753</v>
      </c>
      <c r="B2320" t="s">
        <v>38</v>
      </c>
      <c r="C2320" s="2">
        <f>HYPERLINK("https://cao.dolgi.msk.ru/account/1050654859/", 1050654859)</f>
        <v>1050654859</v>
      </c>
      <c r="D2320" s="4">
        <v>15687.96</v>
      </c>
      <c r="E2320">
        <v>2.0099999999999998</v>
      </c>
    </row>
    <row r="2321" spans="1:5" x14ac:dyDescent="0.25">
      <c r="A2321" t="s">
        <v>754</v>
      </c>
      <c r="B2321" t="s">
        <v>33</v>
      </c>
      <c r="C2321" s="2">
        <f>HYPERLINK("https://cao.dolgi.msk.ru/account/1050449847/", 1050449847)</f>
        <v>1050449847</v>
      </c>
      <c r="D2321" s="4">
        <v>13678.85</v>
      </c>
      <c r="E2321">
        <v>1.94</v>
      </c>
    </row>
    <row r="2322" spans="1:5" x14ac:dyDescent="0.25">
      <c r="A2322" t="s">
        <v>755</v>
      </c>
      <c r="B2322" t="s">
        <v>7</v>
      </c>
      <c r="C2322" s="2">
        <f>HYPERLINK("https://cao.dolgi.msk.ru/account/1050456203/", 1050456203)</f>
        <v>1050456203</v>
      </c>
      <c r="D2322" s="4">
        <v>25451.14</v>
      </c>
      <c r="E2322">
        <v>2.0099999999999998</v>
      </c>
    </row>
    <row r="2323" spans="1:5" x14ac:dyDescent="0.25">
      <c r="A2323" t="s">
        <v>755</v>
      </c>
      <c r="B2323" t="s">
        <v>31</v>
      </c>
      <c r="C2323" s="2">
        <f>HYPERLINK("https://cao.dolgi.msk.ru/account/1050456502/", 1050456502)</f>
        <v>1050456502</v>
      </c>
      <c r="D2323" s="4">
        <v>12058.08</v>
      </c>
      <c r="E2323">
        <v>1.77</v>
      </c>
    </row>
    <row r="2324" spans="1:5" x14ac:dyDescent="0.25">
      <c r="A2324" t="s">
        <v>755</v>
      </c>
      <c r="B2324" t="s">
        <v>36</v>
      </c>
      <c r="C2324" s="2">
        <f>HYPERLINK("https://cao.dolgi.msk.ru/account/1050456561/", 1050456561)</f>
        <v>1050456561</v>
      </c>
      <c r="D2324" s="4">
        <v>13735.62</v>
      </c>
      <c r="E2324">
        <v>1.47</v>
      </c>
    </row>
    <row r="2325" spans="1:5" x14ac:dyDescent="0.25">
      <c r="A2325" t="s">
        <v>755</v>
      </c>
      <c r="B2325" t="s">
        <v>37</v>
      </c>
      <c r="C2325" s="2">
        <f>HYPERLINK("https://cao.dolgi.msk.ru/account/1050456588/", 1050456588)</f>
        <v>1050456588</v>
      </c>
      <c r="D2325" s="4">
        <v>25136.06</v>
      </c>
      <c r="E2325">
        <v>2.29</v>
      </c>
    </row>
    <row r="2326" spans="1:5" x14ac:dyDescent="0.25">
      <c r="A2326" t="s">
        <v>755</v>
      </c>
      <c r="B2326" t="s">
        <v>44</v>
      </c>
      <c r="C2326" s="2">
        <f>HYPERLINK("https://cao.dolgi.msk.ru/account/1050456676/", 1050456676)</f>
        <v>1050456676</v>
      </c>
      <c r="D2326" s="4">
        <v>18725.32</v>
      </c>
      <c r="E2326">
        <v>1.7</v>
      </c>
    </row>
    <row r="2327" spans="1:5" x14ac:dyDescent="0.25">
      <c r="A2327" t="s">
        <v>756</v>
      </c>
      <c r="B2327" t="s">
        <v>27</v>
      </c>
      <c r="C2327" s="2">
        <f>HYPERLINK("https://cao.dolgi.msk.ru/account/1050655974/", 1050655974)</f>
        <v>1050655974</v>
      </c>
      <c r="D2327" s="4">
        <v>7752.04</v>
      </c>
      <c r="E2327">
        <v>1.05</v>
      </c>
    </row>
    <row r="2328" spans="1:5" x14ac:dyDescent="0.25">
      <c r="A2328" t="s">
        <v>756</v>
      </c>
      <c r="B2328" t="s">
        <v>44</v>
      </c>
      <c r="C2328" s="2">
        <f>HYPERLINK("https://cao.dolgi.msk.ru/account/1050656221/", 1050656221)</f>
        <v>1050656221</v>
      </c>
      <c r="D2328" s="4">
        <v>9433.36</v>
      </c>
      <c r="E2328">
        <v>1.6</v>
      </c>
    </row>
    <row r="2329" spans="1:5" x14ac:dyDescent="0.25">
      <c r="A2329" t="s">
        <v>756</v>
      </c>
      <c r="B2329" t="s">
        <v>63</v>
      </c>
      <c r="C2329" s="2">
        <f>HYPERLINK("https://cao.dolgi.msk.ru/account/1058135789/", 1058135789)</f>
        <v>1058135789</v>
      </c>
      <c r="D2329" s="4">
        <v>23840.81</v>
      </c>
      <c r="E2329">
        <v>2.06</v>
      </c>
    </row>
    <row r="2330" spans="1:5" x14ac:dyDescent="0.25">
      <c r="A2330" t="s">
        <v>756</v>
      </c>
      <c r="B2330" t="s">
        <v>84</v>
      </c>
      <c r="C2330" s="2">
        <f>HYPERLINK("https://cao.dolgi.msk.ru/account/1050657013/", 1050657013)</f>
        <v>1050657013</v>
      </c>
      <c r="D2330" s="4">
        <v>16525.919999999998</v>
      </c>
      <c r="E2330">
        <v>1.94</v>
      </c>
    </row>
    <row r="2331" spans="1:5" x14ac:dyDescent="0.25">
      <c r="A2331" t="s">
        <v>757</v>
      </c>
      <c r="B2331" t="s">
        <v>15</v>
      </c>
      <c r="C2331" s="2">
        <f>HYPERLINK("https://cao.dolgi.msk.ru/account/1050454689/", 1050454689)</f>
        <v>1050454689</v>
      </c>
      <c r="D2331" s="4">
        <v>17562.38</v>
      </c>
      <c r="E2331">
        <v>2.82</v>
      </c>
    </row>
    <row r="2332" spans="1:5" x14ac:dyDescent="0.25">
      <c r="A2332" t="s">
        <v>757</v>
      </c>
      <c r="B2332" t="s">
        <v>93</v>
      </c>
      <c r="C2332" s="2">
        <f>HYPERLINK("https://cao.dolgi.msk.ru/account/1050454777/", 1050454777)</f>
        <v>1050454777</v>
      </c>
      <c r="D2332" s="4">
        <v>5005.9399999999996</v>
      </c>
      <c r="E2332">
        <v>1.01</v>
      </c>
    </row>
    <row r="2333" spans="1:5" x14ac:dyDescent="0.25">
      <c r="A2333" t="s">
        <v>757</v>
      </c>
      <c r="B2333" t="s">
        <v>26</v>
      </c>
      <c r="C2333" s="2">
        <f>HYPERLINK("https://cao.dolgi.msk.ru/account/1050454937/", 1050454937)</f>
        <v>1050454937</v>
      </c>
      <c r="D2333" s="4">
        <v>70213.490000000005</v>
      </c>
      <c r="E2333">
        <v>11.27</v>
      </c>
    </row>
    <row r="2334" spans="1:5" x14ac:dyDescent="0.25">
      <c r="A2334" t="s">
        <v>757</v>
      </c>
      <c r="B2334" t="s">
        <v>38</v>
      </c>
      <c r="C2334" s="2">
        <f>HYPERLINK("https://cao.dolgi.msk.ru/account/1050455067/", 1050455067)</f>
        <v>1050455067</v>
      </c>
      <c r="D2334" s="4">
        <v>8348.74</v>
      </c>
      <c r="E2334">
        <v>2.19</v>
      </c>
    </row>
    <row r="2335" spans="1:5" x14ac:dyDescent="0.25">
      <c r="A2335" t="s">
        <v>757</v>
      </c>
      <c r="B2335" t="s">
        <v>40</v>
      </c>
      <c r="C2335" s="2">
        <f>HYPERLINK("https://cao.dolgi.msk.ru/account/1050455083/", 1050455083)</f>
        <v>1050455083</v>
      </c>
      <c r="D2335" s="4">
        <v>12904.28</v>
      </c>
      <c r="E2335">
        <v>2.85</v>
      </c>
    </row>
    <row r="2336" spans="1:5" x14ac:dyDescent="0.25">
      <c r="A2336" t="s">
        <v>757</v>
      </c>
      <c r="B2336" t="s">
        <v>41</v>
      </c>
      <c r="C2336" s="2">
        <f>HYPERLINK("https://cao.dolgi.msk.ru/account/1050455091/", 1050455091)</f>
        <v>1050455091</v>
      </c>
      <c r="D2336" s="4">
        <v>33093.01</v>
      </c>
      <c r="E2336">
        <v>11.26</v>
      </c>
    </row>
    <row r="2337" spans="1:5" x14ac:dyDescent="0.25">
      <c r="A2337" t="s">
        <v>757</v>
      </c>
      <c r="B2337" t="s">
        <v>50</v>
      </c>
      <c r="C2337" s="2">
        <f>HYPERLINK("https://cao.dolgi.msk.ru/account/1050455243/", 1050455243)</f>
        <v>1050455243</v>
      </c>
      <c r="D2337" s="4">
        <v>14353.02</v>
      </c>
      <c r="E2337">
        <v>2.69</v>
      </c>
    </row>
    <row r="2338" spans="1:5" x14ac:dyDescent="0.25">
      <c r="A2338" t="s">
        <v>757</v>
      </c>
      <c r="B2338" t="s">
        <v>53</v>
      </c>
      <c r="C2338" s="2">
        <f>HYPERLINK("https://cao.dolgi.msk.ru/account/1050455286/", 1050455286)</f>
        <v>1050455286</v>
      </c>
      <c r="D2338" s="4">
        <v>11116.49</v>
      </c>
      <c r="E2338">
        <v>1.98</v>
      </c>
    </row>
    <row r="2339" spans="1:5" x14ac:dyDescent="0.25">
      <c r="A2339" t="s">
        <v>757</v>
      </c>
      <c r="B2339" t="s">
        <v>58</v>
      </c>
      <c r="C2339" s="2">
        <f>HYPERLINK("https://cao.dolgi.msk.ru/account/1050455331/", 1050455331)</f>
        <v>1050455331</v>
      </c>
      <c r="D2339" s="4">
        <v>71720.710000000006</v>
      </c>
      <c r="E2339">
        <v>8.99</v>
      </c>
    </row>
    <row r="2340" spans="1:5" x14ac:dyDescent="0.25">
      <c r="A2340" t="s">
        <v>757</v>
      </c>
      <c r="B2340" t="s">
        <v>72</v>
      </c>
      <c r="C2340" s="2">
        <f>HYPERLINK("https://cao.dolgi.msk.ru/account/1056009578/", 1056009578)</f>
        <v>1056009578</v>
      </c>
      <c r="D2340" s="4">
        <v>59035.82</v>
      </c>
      <c r="E2340">
        <v>10.74</v>
      </c>
    </row>
    <row r="2341" spans="1:5" x14ac:dyDescent="0.25">
      <c r="A2341" t="s">
        <v>757</v>
      </c>
      <c r="B2341" t="s">
        <v>84</v>
      </c>
      <c r="C2341" s="2">
        <f>HYPERLINK("https://cao.dolgi.msk.ru/account/1058015293/", 1058015293)</f>
        <v>1058015293</v>
      </c>
      <c r="D2341" s="4">
        <v>13484.21</v>
      </c>
      <c r="E2341">
        <v>2.98</v>
      </c>
    </row>
    <row r="2342" spans="1:5" x14ac:dyDescent="0.25">
      <c r="A2342" t="s">
        <v>757</v>
      </c>
      <c r="B2342" t="s">
        <v>85</v>
      </c>
      <c r="C2342" s="2">
        <f>HYPERLINK("https://cao.dolgi.msk.ru/account/1050455622/", 1050455622)</f>
        <v>1050455622</v>
      </c>
      <c r="D2342" s="4">
        <v>148587.85</v>
      </c>
      <c r="E2342">
        <v>46.72</v>
      </c>
    </row>
    <row r="2343" spans="1:5" x14ac:dyDescent="0.25">
      <c r="A2343" t="s">
        <v>757</v>
      </c>
      <c r="B2343" t="s">
        <v>89</v>
      </c>
      <c r="C2343" s="2">
        <f>HYPERLINK("https://cao.dolgi.msk.ru/account/1050455673/", 1050455673)</f>
        <v>1050455673</v>
      </c>
      <c r="D2343" s="4">
        <v>7404.58</v>
      </c>
      <c r="E2343">
        <v>2.35</v>
      </c>
    </row>
    <row r="2344" spans="1:5" x14ac:dyDescent="0.25">
      <c r="A2344" t="s">
        <v>757</v>
      </c>
      <c r="B2344" t="s">
        <v>110</v>
      </c>
      <c r="C2344" s="2">
        <f>HYPERLINK("https://cao.dolgi.msk.ru/account/1050455825/", 1050455825)</f>
        <v>1050455825</v>
      </c>
      <c r="D2344" s="4">
        <v>338260.89</v>
      </c>
      <c r="E2344">
        <v>85.35</v>
      </c>
    </row>
    <row r="2345" spans="1:5" x14ac:dyDescent="0.25">
      <c r="A2345" t="s">
        <v>757</v>
      </c>
      <c r="B2345" t="s">
        <v>121</v>
      </c>
      <c r="C2345" s="2">
        <f>HYPERLINK("https://cao.dolgi.msk.ru/account/1050455964/", 1050455964)</f>
        <v>1050455964</v>
      </c>
      <c r="D2345" s="4">
        <v>30576.54</v>
      </c>
      <c r="E2345">
        <v>3.99</v>
      </c>
    </row>
    <row r="2346" spans="1:5" x14ac:dyDescent="0.25">
      <c r="A2346" t="s">
        <v>758</v>
      </c>
      <c r="B2346" t="s">
        <v>20</v>
      </c>
      <c r="C2346" s="2">
        <f>HYPERLINK("https://cao.dolgi.msk.ru/account/1050657515/", 1050657515)</f>
        <v>1050657515</v>
      </c>
      <c r="D2346" s="4">
        <v>11373.41</v>
      </c>
      <c r="E2346">
        <v>1.1100000000000001</v>
      </c>
    </row>
    <row r="2347" spans="1:5" x14ac:dyDescent="0.25">
      <c r="A2347" t="s">
        <v>758</v>
      </c>
      <c r="B2347" t="s">
        <v>50</v>
      </c>
      <c r="C2347" s="2">
        <f>HYPERLINK("https://cao.dolgi.msk.ru/account/1058014557/", 1058014557)</f>
        <v>1058014557</v>
      </c>
      <c r="D2347" s="4">
        <v>181687.59</v>
      </c>
      <c r="E2347">
        <v>16.13</v>
      </c>
    </row>
    <row r="2348" spans="1:5" x14ac:dyDescent="0.25">
      <c r="A2348" t="s">
        <v>758</v>
      </c>
      <c r="B2348" t="s">
        <v>52</v>
      </c>
      <c r="C2348" s="2">
        <f>HYPERLINK("https://cao.dolgi.msk.ru/account/1050658331/", 1050658331)</f>
        <v>1050658331</v>
      </c>
      <c r="D2348" s="4">
        <v>20476.63</v>
      </c>
      <c r="E2348">
        <v>2.97</v>
      </c>
    </row>
    <row r="2349" spans="1:5" x14ac:dyDescent="0.25">
      <c r="A2349" t="s">
        <v>759</v>
      </c>
      <c r="B2349" t="s">
        <v>93</v>
      </c>
      <c r="C2349" s="2">
        <f>HYPERLINK("https://cao.dolgi.msk.ru/account/1050458567/", 1050458567)</f>
        <v>1050458567</v>
      </c>
      <c r="D2349" s="4">
        <v>13564.14</v>
      </c>
      <c r="E2349">
        <v>2</v>
      </c>
    </row>
    <row r="2350" spans="1:5" x14ac:dyDescent="0.25">
      <c r="A2350" t="s">
        <v>759</v>
      </c>
      <c r="B2350" t="s">
        <v>23</v>
      </c>
      <c r="C2350" s="2">
        <f>HYPERLINK("https://cao.dolgi.msk.ru/account/1058018806/", 1058018806)</f>
        <v>1058018806</v>
      </c>
      <c r="D2350" s="4">
        <v>21869.13</v>
      </c>
      <c r="E2350">
        <v>2.97</v>
      </c>
    </row>
    <row r="2351" spans="1:5" x14ac:dyDescent="0.25">
      <c r="A2351" t="s">
        <v>759</v>
      </c>
      <c r="B2351" t="s">
        <v>26</v>
      </c>
      <c r="C2351" s="2">
        <f>HYPERLINK("https://cao.dolgi.msk.ru/account/1050458663/", 1050458663)</f>
        <v>1050458663</v>
      </c>
      <c r="D2351" s="4">
        <v>70027.070000000007</v>
      </c>
      <c r="E2351">
        <v>7</v>
      </c>
    </row>
    <row r="2352" spans="1:5" x14ac:dyDescent="0.25">
      <c r="A2352" t="s">
        <v>760</v>
      </c>
      <c r="B2352" t="s">
        <v>11</v>
      </c>
      <c r="C2352" s="2">
        <f>HYPERLINK("https://cao.dolgi.msk.ru/account/1050457433/", 1050457433)</f>
        <v>1050457433</v>
      </c>
      <c r="D2352" s="4">
        <v>21826.46</v>
      </c>
      <c r="E2352">
        <v>2.14</v>
      </c>
    </row>
    <row r="2353" spans="1:5" x14ac:dyDescent="0.25">
      <c r="A2353" t="s">
        <v>760</v>
      </c>
      <c r="B2353" t="s">
        <v>20</v>
      </c>
      <c r="C2353" s="2">
        <f>HYPERLINK("https://cao.dolgi.msk.ru/account/1050457636/", 1050457636)</f>
        <v>1050457636</v>
      </c>
      <c r="D2353" s="4">
        <v>12665.25</v>
      </c>
      <c r="E2353">
        <v>1.51</v>
      </c>
    </row>
    <row r="2354" spans="1:5" x14ac:dyDescent="0.25">
      <c r="A2354" t="s">
        <v>760</v>
      </c>
      <c r="B2354" t="s">
        <v>94</v>
      </c>
      <c r="C2354" s="2">
        <f>HYPERLINK("https://cao.dolgi.msk.ru/account/1050458065/", 1050458065)</f>
        <v>1050458065</v>
      </c>
      <c r="D2354" s="4">
        <v>28710.22</v>
      </c>
      <c r="E2354">
        <v>2.84</v>
      </c>
    </row>
    <row r="2355" spans="1:5" x14ac:dyDescent="0.25">
      <c r="A2355" t="s">
        <v>760</v>
      </c>
      <c r="B2355" t="s">
        <v>48</v>
      </c>
      <c r="C2355" s="2">
        <f>HYPERLINK("https://cao.dolgi.msk.ru/account/1050458102/", 1050458102)</f>
        <v>1050458102</v>
      </c>
      <c r="D2355" s="4">
        <v>27099.73</v>
      </c>
      <c r="E2355">
        <v>1.76</v>
      </c>
    </row>
    <row r="2356" spans="1:5" x14ac:dyDescent="0.25">
      <c r="A2356" t="s">
        <v>760</v>
      </c>
      <c r="B2356" t="s">
        <v>55</v>
      </c>
      <c r="C2356" s="2">
        <f>HYPERLINK("https://cao.dolgi.msk.ru/account/1050458196/", 1050458196)</f>
        <v>1050458196</v>
      </c>
      <c r="D2356" s="4">
        <v>16041.3</v>
      </c>
      <c r="E2356">
        <v>2</v>
      </c>
    </row>
    <row r="2357" spans="1:5" x14ac:dyDescent="0.25">
      <c r="A2357" t="s">
        <v>760</v>
      </c>
      <c r="B2357" t="s">
        <v>57</v>
      </c>
      <c r="C2357" s="2">
        <f>HYPERLINK("https://cao.dolgi.msk.ru/account/1050458225/", 1050458225)</f>
        <v>1050458225</v>
      </c>
      <c r="D2357" s="4">
        <v>18460.43</v>
      </c>
      <c r="E2357">
        <v>1.79</v>
      </c>
    </row>
    <row r="2358" spans="1:5" x14ac:dyDescent="0.25">
      <c r="A2358" t="s">
        <v>761</v>
      </c>
      <c r="B2358" t="s">
        <v>7</v>
      </c>
      <c r="C2358" s="2">
        <f>HYPERLINK("https://cao.dolgi.msk.ru/account/1050474452/", 1050474452)</f>
        <v>1050474452</v>
      </c>
      <c r="D2358" s="4">
        <v>11778.32</v>
      </c>
      <c r="E2358">
        <v>1.89</v>
      </c>
    </row>
    <row r="2359" spans="1:5" x14ac:dyDescent="0.25">
      <c r="A2359" t="s">
        <v>761</v>
      </c>
      <c r="B2359" t="s">
        <v>49</v>
      </c>
      <c r="C2359" s="2">
        <f>HYPERLINK("https://cao.dolgi.msk.ru/account/1050474997/", 1050474997)</f>
        <v>1050474997</v>
      </c>
      <c r="D2359" s="4">
        <v>10914.91</v>
      </c>
      <c r="E2359">
        <v>2.0299999999999998</v>
      </c>
    </row>
    <row r="2360" spans="1:5" x14ac:dyDescent="0.25">
      <c r="A2360" t="s">
        <v>761</v>
      </c>
      <c r="B2360" t="s">
        <v>51</v>
      </c>
      <c r="C2360" s="2">
        <f>HYPERLINK("https://cao.dolgi.msk.ru/account/1050475017/", 1050475017)</f>
        <v>1050475017</v>
      </c>
      <c r="D2360" s="4">
        <v>11291.43</v>
      </c>
      <c r="E2360">
        <v>2</v>
      </c>
    </row>
    <row r="2361" spans="1:5" x14ac:dyDescent="0.25">
      <c r="A2361" t="s">
        <v>761</v>
      </c>
      <c r="B2361" t="s">
        <v>54</v>
      </c>
      <c r="C2361" s="2">
        <f>HYPERLINK("https://cao.dolgi.msk.ru/account/1050475041/", 1050475041)</f>
        <v>1050475041</v>
      </c>
      <c r="D2361" s="4">
        <v>11297.21</v>
      </c>
      <c r="E2361">
        <v>3.7</v>
      </c>
    </row>
    <row r="2362" spans="1:5" x14ac:dyDescent="0.25">
      <c r="A2362" t="s">
        <v>761</v>
      </c>
      <c r="B2362" t="s">
        <v>66</v>
      </c>
      <c r="C2362" s="2">
        <f>HYPERLINK("https://cao.dolgi.msk.ru/account/1050475199/", 1050475199)</f>
        <v>1050475199</v>
      </c>
      <c r="D2362" s="4">
        <v>10867.96</v>
      </c>
      <c r="E2362">
        <v>2.5499999999999998</v>
      </c>
    </row>
    <row r="2363" spans="1:5" x14ac:dyDescent="0.25">
      <c r="A2363" t="s">
        <v>762</v>
      </c>
      <c r="B2363" t="s">
        <v>28</v>
      </c>
      <c r="C2363" s="2">
        <f>HYPERLINK("https://cao.dolgi.msk.ru/account/1050459607/", 1050459607)</f>
        <v>1050459607</v>
      </c>
      <c r="D2363" s="4">
        <v>118922.88</v>
      </c>
      <c r="E2363">
        <v>16.04</v>
      </c>
    </row>
    <row r="2364" spans="1:5" x14ac:dyDescent="0.25">
      <c r="A2364" t="s">
        <v>762</v>
      </c>
      <c r="B2364" t="s">
        <v>37</v>
      </c>
      <c r="C2364" s="2">
        <f>HYPERLINK("https://cao.dolgi.msk.ru/account/1058147958/", 1058147958)</f>
        <v>1058147958</v>
      </c>
      <c r="D2364" s="4">
        <v>14450.51</v>
      </c>
      <c r="E2364">
        <v>1.61</v>
      </c>
    </row>
    <row r="2365" spans="1:5" x14ac:dyDescent="0.25">
      <c r="A2365" t="s">
        <v>762</v>
      </c>
      <c r="B2365" t="s">
        <v>44</v>
      </c>
      <c r="C2365" s="2">
        <f>HYPERLINK("https://cao.dolgi.msk.ru/account/1050460034/", 1050460034)</f>
        <v>1050460034</v>
      </c>
      <c r="D2365" s="4">
        <v>67733.490000000005</v>
      </c>
      <c r="E2365">
        <v>8.64</v>
      </c>
    </row>
    <row r="2366" spans="1:5" x14ac:dyDescent="0.25">
      <c r="A2366" t="s">
        <v>762</v>
      </c>
      <c r="B2366" t="s">
        <v>46</v>
      </c>
      <c r="C2366" s="2">
        <f>HYPERLINK("https://cao.dolgi.msk.ru/account/1050460085/", 1050460085)</f>
        <v>1050460085</v>
      </c>
      <c r="D2366" s="4">
        <v>14470.94</v>
      </c>
      <c r="E2366">
        <v>2.0299999999999998</v>
      </c>
    </row>
    <row r="2367" spans="1:5" x14ac:dyDescent="0.25">
      <c r="A2367" t="s">
        <v>762</v>
      </c>
      <c r="B2367" t="s">
        <v>47</v>
      </c>
      <c r="C2367" s="2">
        <f>HYPERLINK("https://cao.dolgi.msk.ru/account/1050460093/", 1050460093)</f>
        <v>1050460093</v>
      </c>
      <c r="D2367" s="4">
        <v>27917.84</v>
      </c>
      <c r="E2367">
        <v>3.03</v>
      </c>
    </row>
    <row r="2368" spans="1:5" x14ac:dyDescent="0.25">
      <c r="A2368" t="s">
        <v>762</v>
      </c>
      <c r="B2368" t="s">
        <v>54</v>
      </c>
      <c r="C2368" s="2">
        <f>HYPERLINK("https://cao.dolgi.msk.ru/account/1050460253/", 1050460253)</f>
        <v>1050460253</v>
      </c>
      <c r="D2368" s="4">
        <v>35352.980000000003</v>
      </c>
      <c r="E2368">
        <v>1.99</v>
      </c>
    </row>
    <row r="2369" spans="1:5" x14ac:dyDescent="0.25">
      <c r="A2369" t="s">
        <v>762</v>
      </c>
      <c r="B2369" t="s">
        <v>59</v>
      </c>
      <c r="C2369" s="2">
        <f>HYPERLINK("https://cao.dolgi.msk.ru/account/1050460341/", 1050460341)</f>
        <v>1050460341</v>
      </c>
      <c r="D2369" s="4">
        <v>15211.94</v>
      </c>
      <c r="E2369">
        <v>2.31</v>
      </c>
    </row>
    <row r="2370" spans="1:5" x14ac:dyDescent="0.25">
      <c r="A2370" t="s">
        <v>762</v>
      </c>
      <c r="B2370" t="s">
        <v>84</v>
      </c>
      <c r="C2370" s="2">
        <f>HYPERLINK("https://cao.dolgi.msk.ru/account/1050460739/", 1050460739)</f>
        <v>1050460739</v>
      </c>
      <c r="D2370" s="4">
        <v>233738.83</v>
      </c>
      <c r="E2370">
        <v>36.11</v>
      </c>
    </row>
    <row r="2371" spans="1:5" x14ac:dyDescent="0.25">
      <c r="A2371" t="s">
        <v>762</v>
      </c>
      <c r="B2371" t="s">
        <v>89</v>
      </c>
      <c r="C2371" s="2">
        <f>HYPERLINK("https://cao.dolgi.msk.ru/account/1050460827/", 1050460827)</f>
        <v>1050460827</v>
      </c>
      <c r="D2371" s="4">
        <v>10137.85</v>
      </c>
      <c r="E2371">
        <v>2.0499999999999998</v>
      </c>
    </row>
    <row r="2372" spans="1:5" x14ac:dyDescent="0.25">
      <c r="A2372" t="s">
        <v>762</v>
      </c>
      <c r="B2372" t="s">
        <v>97</v>
      </c>
      <c r="C2372" s="2">
        <f>HYPERLINK("https://cao.dolgi.msk.ru/account/1050460894/", 1050460894)</f>
        <v>1050460894</v>
      </c>
      <c r="D2372" s="4">
        <v>21749.69</v>
      </c>
      <c r="E2372">
        <v>1.9</v>
      </c>
    </row>
    <row r="2373" spans="1:5" x14ac:dyDescent="0.25">
      <c r="A2373" t="s">
        <v>762</v>
      </c>
      <c r="B2373" t="s">
        <v>137</v>
      </c>
      <c r="C2373" s="2">
        <f>HYPERLINK("https://cao.dolgi.msk.ru/account/1058143121/", 1058143121)</f>
        <v>1058143121</v>
      </c>
      <c r="D2373" s="4">
        <v>9120.66</v>
      </c>
      <c r="E2373">
        <v>1.39</v>
      </c>
    </row>
    <row r="2374" spans="1:5" x14ac:dyDescent="0.25">
      <c r="A2374" t="s">
        <v>763</v>
      </c>
      <c r="B2374" t="s">
        <v>8</v>
      </c>
      <c r="C2374" s="2">
        <f>HYPERLINK("https://cao.dolgi.msk.ru/account/1050473425/", 1050473425)</f>
        <v>1050473425</v>
      </c>
      <c r="D2374" s="4">
        <v>36097.599999999999</v>
      </c>
      <c r="E2374">
        <v>6.75</v>
      </c>
    </row>
    <row r="2375" spans="1:5" x14ac:dyDescent="0.25">
      <c r="A2375" t="s">
        <v>763</v>
      </c>
      <c r="B2375" t="s">
        <v>13</v>
      </c>
      <c r="C2375" s="2">
        <f>HYPERLINK("https://cao.dolgi.msk.ru/account/1050473492/", 1050473492)</f>
        <v>1050473492</v>
      </c>
      <c r="D2375" s="4">
        <v>21574.58</v>
      </c>
      <c r="E2375">
        <v>5.95</v>
      </c>
    </row>
    <row r="2376" spans="1:5" x14ac:dyDescent="0.25">
      <c r="A2376" t="s">
        <v>763</v>
      </c>
      <c r="B2376" t="s">
        <v>33</v>
      </c>
      <c r="C2376" s="2">
        <f>HYPERLINK("https://cao.dolgi.msk.ru/account/1050473732/", 1050473732)</f>
        <v>1050473732</v>
      </c>
      <c r="D2376" s="4">
        <v>8959.23</v>
      </c>
      <c r="E2376">
        <v>1.57</v>
      </c>
    </row>
    <row r="2377" spans="1:5" x14ac:dyDescent="0.25">
      <c r="A2377" t="s">
        <v>763</v>
      </c>
      <c r="B2377" t="s">
        <v>37</v>
      </c>
      <c r="C2377" s="2">
        <f>HYPERLINK("https://cao.dolgi.msk.ru/account/1050473783/", 1050473783)</f>
        <v>1050473783</v>
      </c>
      <c r="D2377" s="4">
        <v>7966.26</v>
      </c>
      <c r="E2377">
        <v>2.0099999999999998</v>
      </c>
    </row>
    <row r="2378" spans="1:5" x14ac:dyDescent="0.25">
      <c r="A2378" t="s">
        <v>763</v>
      </c>
      <c r="B2378" t="s">
        <v>53</v>
      </c>
      <c r="C2378" s="2">
        <f>HYPERLINK("https://cao.dolgi.msk.ru/account/1050474006/", 1050474006)</f>
        <v>1050474006</v>
      </c>
      <c r="D2378" s="4">
        <v>34276.949999999997</v>
      </c>
      <c r="E2378">
        <v>4.9400000000000004</v>
      </c>
    </row>
    <row r="2379" spans="1:5" x14ac:dyDescent="0.25">
      <c r="A2379" t="s">
        <v>763</v>
      </c>
      <c r="B2379" t="s">
        <v>56</v>
      </c>
      <c r="C2379" s="2">
        <f>HYPERLINK("https://cao.dolgi.msk.ru/account/1050474049/", 1050474049)</f>
        <v>1050474049</v>
      </c>
      <c r="D2379" s="4">
        <v>13938</v>
      </c>
      <c r="E2379">
        <v>1.86</v>
      </c>
    </row>
    <row r="2380" spans="1:5" x14ac:dyDescent="0.25">
      <c r="A2380" t="s">
        <v>763</v>
      </c>
      <c r="B2380" t="s">
        <v>64</v>
      </c>
      <c r="C2380" s="2">
        <f>HYPERLINK("https://cao.dolgi.msk.ru/account/1050474145/", 1050474145)</f>
        <v>1050474145</v>
      </c>
      <c r="D2380" s="4">
        <v>9273.75</v>
      </c>
      <c r="E2380">
        <v>1.9</v>
      </c>
    </row>
    <row r="2381" spans="1:5" x14ac:dyDescent="0.25">
      <c r="A2381" t="s">
        <v>764</v>
      </c>
      <c r="B2381" t="s">
        <v>28</v>
      </c>
      <c r="C2381" s="2">
        <f>HYPERLINK("https://cao.dolgi.msk.ru/account/1058065063/", 1058065063)</f>
        <v>1058065063</v>
      </c>
      <c r="D2381" s="4">
        <v>26234.06</v>
      </c>
      <c r="E2381">
        <v>3.02</v>
      </c>
    </row>
    <row r="2382" spans="1:5" x14ac:dyDescent="0.25">
      <c r="A2382" t="s">
        <v>764</v>
      </c>
      <c r="B2382" t="s">
        <v>38</v>
      </c>
      <c r="C2382" s="2">
        <f>HYPERLINK("https://cao.dolgi.msk.ru/account/1050467594/", 1050467594)</f>
        <v>1050467594</v>
      </c>
      <c r="D2382" s="4">
        <v>9360.91</v>
      </c>
      <c r="E2382">
        <v>2.06</v>
      </c>
    </row>
    <row r="2383" spans="1:5" x14ac:dyDescent="0.25">
      <c r="A2383" t="s">
        <v>764</v>
      </c>
      <c r="B2383" t="s">
        <v>56</v>
      </c>
      <c r="C2383" s="2">
        <f>HYPERLINK("https://cao.dolgi.msk.ru/account/1050467842/", 1050467842)</f>
        <v>1050467842</v>
      </c>
      <c r="D2383" s="4">
        <v>10982.8</v>
      </c>
      <c r="E2383">
        <v>2.0099999999999998</v>
      </c>
    </row>
    <row r="2384" spans="1:5" x14ac:dyDescent="0.25">
      <c r="A2384" t="s">
        <v>765</v>
      </c>
      <c r="B2384" t="s">
        <v>13</v>
      </c>
      <c r="C2384" s="2">
        <f>HYPERLINK("https://cao.dolgi.msk.ru/account/1050468319/", 1050468319)</f>
        <v>1050468319</v>
      </c>
      <c r="D2384" s="4">
        <v>11564.74</v>
      </c>
      <c r="E2384">
        <v>1.96</v>
      </c>
    </row>
    <row r="2385" spans="1:5" x14ac:dyDescent="0.25">
      <c r="A2385" t="s">
        <v>765</v>
      </c>
      <c r="B2385" t="s">
        <v>40</v>
      </c>
      <c r="C2385" s="2">
        <f>HYPERLINK("https://cao.dolgi.msk.ru/account/1050468642/", 1050468642)</f>
        <v>1050468642</v>
      </c>
      <c r="D2385" s="4">
        <v>5948.05</v>
      </c>
      <c r="E2385">
        <v>1.96</v>
      </c>
    </row>
    <row r="2386" spans="1:5" x14ac:dyDescent="0.25">
      <c r="A2386" t="s">
        <v>765</v>
      </c>
      <c r="B2386" t="s">
        <v>66</v>
      </c>
      <c r="C2386" s="2">
        <f>HYPERLINK("https://cao.dolgi.msk.ru/account/1050468984/", 1050468984)</f>
        <v>1050468984</v>
      </c>
      <c r="D2386" s="4">
        <v>28357.71</v>
      </c>
      <c r="E2386">
        <v>8.44</v>
      </c>
    </row>
    <row r="2387" spans="1:5" x14ac:dyDescent="0.25">
      <c r="A2387" t="s">
        <v>766</v>
      </c>
      <c r="B2387" t="s">
        <v>16</v>
      </c>
      <c r="C2387" s="2">
        <f>HYPERLINK("https://cao.dolgi.msk.ru/account/1050469397/", 1050469397)</f>
        <v>1050469397</v>
      </c>
      <c r="D2387" s="4">
        <v>18465.48</v>
      </c>
      <c r="E2387">
        <v>4</v>
      </c>
    </row>
    <row r="2388" spans="1:5" x14ac:dyDescent="0.25">
      <c r="A2388" t="s">
        <v>766</v>
      </c>
      <c r="B2388" t="s">
        <v>37</v>
      </c>
      <c r="C2388" s="2">
        <f>HYPERLINK("https://cao.dolgi.msk.ru/account/1050469661/", 1050469661)</f>
        <v>1050469661</v>
      </c>
      <c r="D2388" s="4">
        <v>41115.129999999997</v>
      </c>
      <c r="E2388">
        <v>3.95</v>
      </c>
    </row>
    <row r="2389" spans="1:5" x14ac:dyDescent="0.25">
      <c r="A2389" t="s">
        <v>766</v>
      </c>
      <c r="B2389" t="s">
        <v>40</v>
      </c>
      <c r="C2389" s="2">
        <f>HYPERLINK("https://cao.dolgi.msk.ru/account/1050469709/", 1050469709)</f>
        <v>1050469709</v>
      </c>
      <c r="D2389" s="4">
        <v>7308.58</v>
      </c>
      <c r="E2389">
        <v>1.98</v>
      </c>
    </row>
    <row r="2390" spans="1:5" x14ac:dyDescent="0.25">
      <c r="A2390" t="s">
        <v>766</v>
      </c>
      <c r="B2390" t="s">
        <v>47</v>
      </c>
      <c r="C2390" s="2">
        <f>HYPERLINK("https://cao.dolgi.msk.ru/account/1050469784/", 1050469784)</f>
        <v>1050469784</v>
      </c>
      <c r="D2390" s="4">
        <v>66193.03</v>
      </c>
      <c r="E2390">
        <v>24.42</v>
      </c>
    </row>
    <row r="2391" spans="1:5" x14ac:dyDescent="0.25">
      <c r="A2391" t="s">
        <v>766</v>
      </c>
      <c r="B2391" t="s">
        <v>49</v>
      </c>
      <c r="C2391" s="2">
        <f>HYPERLINK("https://cao.dolgi.msk.ru/account/1050469821/", 1050469821)</f>
        <v>1050469821</v>
      </c>
      <c r="D2391" s="4">
        <v>22867.7</v>
      </c>
      <c r="E2391">
        <v>9.58</v>
      </c>
    </row>
    <row r="2392" spans="1:5" x14ac:dyDescent="0.25">
      <c r="A2392" t="s">
        <v>766</v>
      </c>
      <c r="B2392" t="s">
        <v>65</v>
      </c>
      <c r="C2392" s="2">
        <f>HYPERLINK("https://cao.dolgi.msk.ru/account/1050470021/", 1050470021)</f>
        <v>1050470021</v>
      </c>
      <c r="D2392" s="4">
        <v>28831.61</v>
      </c>
      <c r="E2392">
        <v>6.44</v>
      </c>
    </row>
    <row r="2393" spans="1:5" x14ac:dyDescent="0.25">
      <c r="A2393" t="s">
        <v>766</v>
      </c>
      <c r="B2393" t="s">
        <v>79</v>
      </c>
      <c r="C2393" s="2">
        <f>HYPERLINK("https://cao.dolgi.msk.ru/account/1050470208/", 1050470208)</f>
        <v>1050470208</v>
      </c>
      <c r="D2393" s="4">
        <v>10044.040000000001</v>
      </c>
      <c r="E2393">
        <v>2.04</v>
      </c>
    </row>
    <row r="2394" spans="1:5" x14ac:dyDescent="0.25">
      <c r="A2394" t="s">
        <v>766</v>
      </c>
      <c r="B2394" t="s">
        <v>86</v>
      </c>
      <c r="C2394" s="2">
        <f>HYPERLINK("https://cao.dolgi.msk.ru/account/1050470283/", 1050470283)</f>
        <v>1050470283</v>
      </c>
      <c r="D2394" s="4">
        <v>15325.12</v>
      </c>
      <c r="E2394">
        <v>5.16</v>
      </c>
    </row>
    <row r="2395" spans="1:5" x14ac:dyDescent="0.25">
      <c r="A2395" t="s">
        <v>767</v>
      </c>
      <c r="B2395" t="s">
        <v>10</v>
      </c>
      <c r="C2395" s="2">
        <f>HYPERLINK("https://cao.dolgi.msk.ru/account/1050490604/", 1050490604)</f>
        <v>1050490604</v>
      </c>
      <c r="D2395" s="4">
        <v>28835.74</v>
      </c>
      <c r="E2395">
        <v>4</v>
      </c>
    </row>
    <row r="2396" spans="1:5" x14ac:dyDescent="0.25">
      <c r="A2396" t="s">
        <v>767</v>
      </c>
      <c r="B2396" t="s">
        <v>42</v>
      </c>
      <c r="C2396" s="2">
        <f>HYPERLINK("https://cao.dolgi.msk.ru/account/1050491009/", 1050491009)</f>
        <v>1050491009</v>
      </c>
      <c r="D2396" s="4">
        <v>24247.040000000001</v>
      </c>
      <c r="E2396">
        <v>5.27</v>
      </c>
    </row>
    <row r="2397" spans="1:5" x14ac:dyDescent="0.25">
      <c r="A2397" t="s">
        <v>768</v>
      </c>
      <c r="B2397" t="s">
        <v>6</v>
      </c>
      <c r="C2397" s="2">
        <f>HYPERLINK("https://cao.dolgi.msk.ru/account/1050764302/", 1050764302)</f>
        <v>1050764302</v>
      </c>
      <c r="D2397" s="4">
        <v>217084.03</v>
      </c>
      <c r="E2397">
        <v>35.78</v>
      </c>
    </row>
    <row r="2398" spans="1:5" x14ac:dyDescent="0.25">
      <c r="A2398" t="s">
        <v>768</v>
      </c>
      <c r="B2398" t="s">
        <v>11</v>
      </c>
      <c r="C2398" s="2">
        <f>HYPERLINK("https://cao.dolgi.msk.ru/account/1050763609/", 1050763609)</f>
        <v>1050763609</v>
      </c>
      <c r="D2398" s="4">
        <v>8844.26</v>
      </c>
      <c r="E2398">
        <v>1.68</v>
      </c>
    </row>
    <row r="2399" spans="1:5" x14ac:dyDescent="0.25">
      <c r="A2399" t="s">
        <v>768</v>
      </c>
      <c r="B2399" t="s">
        <v>18</v>
      </c>
      <c r="C2399" s="2">
        <f>HYPERLINK("https://cao.dolgi.msk.ru/account/1050763684/", 1050763684)</f>
        <v>1050763684</v>
      </c>
      <c r="D2399" s="4">
        <v>5084.7700000000004</v>
      </c>
      <c r="E2399">
        <v>1.05</v>
      </c>
    </row>
    <row r="2400" spans="1:5" x14ac:dyDescent="0.25">
      <c r="A2400" t="s">
        <v>768</v>
      </c>
      <c r="B2400" t="s">
        <v>23</v>
      </c>
      <c r="C2400" s="2">
        <f>HYPERLINK("https://cao.dolgi.msk.ru/account/1050763756/", 1050763756)</f>
        <v>1050763756</v>
      </c>
      <c r="D2400" s="4">
        <v>8895.08</v>
      </c>
      <c r="E2400">
        <v>1.9</v>
      </c>
    </row>
    <row r="2401" spans="1:5" x14ac:dyDescent="0.25">
      <c r="A2401" t="s">
        <v>768</v>
      </c>
      <c r="B2401" t="s">
        <v>27</v>
      </c>
      <c r="C2401" s="2">
        <f>HYPERLINK("https://cao.dolgi.msk.ru/account/1050763799/", 1050763799)</f>
        <v>1050763799</v>
      </c>
      <c r="D2401" s="4">
        <v>66958.570000000007</v>
      </c>
      <c r="E2401">
        <v>15.05</v>
      </c>
    </row>
    <row r="2402" spans="1:5" x14ac:dyDescent="0.25">
      <c r="A2402" t="s">
        <v>768</v>
      </c>
      <c r="B2402" t="s">
        <v>35</v>
      </c>
      <c r="C2402" s="2">
        <f>HYPERLINK("https://cao.dolgi.msk.ru/account/1050763895/", 1050763895)</f>
        <v>1050763895</v>
      </c>
      <c r="D2402" s="4">
        <v>13973.9</v>
      </c>
      <c r="E2402">
        <v>2.0499999999999998</v>
      </c>
    </row>
    <row r="2403" spans="1:5" x14ac:dyDescent="0.25">
      <c r="A2403" t="s">
        <v>768</v>
      </c>
      <c r="B2403" t="s">
        <v>36</v>
      </c>
      <c r="C2403" s="2">
        <f>HYPERLINK("https://cao.dolgi.msk.ru/account/1050763908/", 1050763908)</f>
        <v>1050763908</v>
      </c>
      <c r="D2403" s="4">
        <v>7421.97</v>
      </c>
      <c r="E2403">
        <v>2.11</v>
      </c>
    </row>
    <row r="2404" spans="1:5" x14ac:dyDescent="0.25">
      <c r="A2404" t="s">
        <v>768</v>
      </c>
      <c r="B2404" t="s">
        <v>46</v>
      </c>
      <c r="C2404" s="2">
        <f>HYPERLINK("https://cao.dolgi.msk.ru/account/1050763588/", 1050763588)</f>
        <v>1050763588</v>
      </c>
      <c r="D2404" s="4">
        <v>294585.51</v>
      </c>
      <c r="E2404">
        <v>43.66</v>
      </c>
    </row>
    <row r="2405" spans="1:5" x14ac:dyDescent="0.25">
      <c r="A2405" t="s">
        <v>768</v>
      </c>
      <c r="B2405" t="s">
        <v>54</v>
      </c>
      <c r="C2405" s="2">
        <f>HYPERLINK("https://cao.dolgi.msk.ru/account/1050764134/", 1050764134)</f>
        <v>1050764134</v>
      </c>
      <c r="D2405" s="4">
        <v>141487.39000000001</v>
      </c>
      <c r="E2405">
        <v>20.72</v>
      </c>
    </row>
    <row r="2406" spans="1:5" x14ac:dyDescent="0.25">
      <c r="A2406" t="s">
        <v>769</v>
      </c>
      <c r="B2406" t="s">
        <v>11</v>
      </c>
      <c r="C2406" s="2">
        <f>HYPERLINK("https://cao.dolgi.msk.ru/account/1050751173/", 1050751173)</f>
        <v>1050751173</v>
      </c>
      <c r="D2406" s="4">
        <v>357084.59</v>
      </c>
      <c r="E2406">
        <v>39.380000000000003</v>
      </c>
    </row>
    <row r="2407" spans="1:5" x14ac:dyDescent="0.25">
      <c r="A2407" t="s">
        <v>769</v>
      </c>
      <c r="B2407" t="s">
        <v>21</v>
      </c>
      <c r="C2407" s="2">
        <f>HYPERLINK("https://cao.dolgi.msk.ru/account/1058155974/", 1058155974)</f>
        <v>1058155974</v>
      </c>
      <c r="D2407" s="4">
        <v>15656.74</v>
      </c>
      <c r="E2407">
        <v>7.02</v>
      </c>
    </row>
    <row r="2408" spans="1:5" x14ac:dyDescent="0.25">
      <c r="A2408" t="s">
        <v>769</v>
      </c>
      <c r="B2408" t="s">
        <v>35</v>
      </c>
      <c r="C2408" s="2">
        <f>HYPERLINK("https://cao.dolgi.msk.ru/account/1050751464/", 1050751464)</f>
        <v>1050751464</v>
      </c>
      <c r="D2408" s="4">
        <v>116809.96</v>
      </c>
      <c r="E2408">
        <v>36.58</v>
      </c>
    </row>
    <row r="2409" spans="1:5" x14ac:dyDescent="0.25">
      <c r="A2409" t="s">
        <v>769</v>
      </c>
      <c r="B2409" t="s">
        <v>44</v>
      </c>
      <c r="C2409" s="2">
        <f>HYPERLINK("https://cao.dolgi.msk.ru/account/1050751587/", 1050751587)</f>
        <v>1050751587</v>
      </c>
      <c r="D2409" s="4">
        <v>7565.71</v>
      </c>
      <c r="E2409">
        <v>3.15</v>
      </c>
    </row>
    <row r="2410" spans="1:5" x14ac:dyDescent="0.25">
      <c r="A2410" t="s">
        <v>770</v>
      </c>
      <c r="B2410" t="s">
        <v>9</v>
      </c>
      <c r="C2410" s="2">
        <f>HYPERLINK("https://cao.dolgi.msk.ru/account/1050380114/", 1050380114)</f>
        <v>1050380114</v>
      </c>
      <c r="D2410" s="4">
        <v>13938.34</v>
      </c>
      <c r="E2410">
        <v>1.4</v>
      </c>
    </row>
    <row r="2411" spans="1:5" x14ac:dyDescent="0.25">
      <c r="A2411" t="s">
        <v>771</v>
      </c>
      <c r="B2411" t="s">
        <v>6</v>
      </c>
      <c r="C2411" s="2">
        <f>HYPERLINK("https://cao.dolgi.msk.ru/account/1050425618/", 1050425618)</f>
        <v>1050425618</v>
      </c>
      <c r="D2411" s="4">
        <v>33071.129999999997</v>
      </c>
      <c r="E2411">
        <v>1.98</v>
      </c>
    </row>
    <row r="2412" spans="1:5" x14ac:dyDescent="0.25">
      <c r="A2412" t="s">
        <v>771</v>
      </c>
      <c r="B2412" t="s">
        <v>11</v>
      </c>
      <c r="C2412" s="2">
        <f>HYPERLINK("https://cao.dolgi.msk.ru/account/1050425677/", 1050425677)</f>
        <v>1050425677</v>
      </c>
      <c r="D2412" s="4">
        <v>43834.1</v>
      </c>
      <c r="E2412">
        <v>4</v>
      </c>
    </row>
    <row r="2413" spans="1:5" x14ac:dyDescent="0.25">
      <c r="A2413" t="s">
        <v>771</v>
      </c>
      <c r="B2413" t="s">
        <v>14</v>
      </c>
      <c r="C2413" s="2">
        <f>HYPERLINK("https://cao.dolgi.msk.ru/account/1050425693/", 1050425693)</f>
        <v>1050425693</v>
      </c>
      <c r="D2413" s="4">
        <v>98771.57</v>
      </c>
      <c r="E2413">
        <v>3.36</v>
      </c>
    </row>
    <row r="2414" spans="1:5" x14ac:dyDescent="0.25">
      <c r="A2414" t="s">
        <v>772</v>
      </c>
      <c r="B2414" t="s">
        <v>11</v>
      </c>
      <c r="C2414" s="2">
        <f>HYPERLINK("https://cao.dolgi.msk.ru/account/1058095895/", 1058095895)</f>
        <v>1058095895</v>
      </c>
      <c r="D2414" s="4">
        <v>11993.09</v>
      </c>
      <c r="E2414">
        <v>2</v>
      </c>
    </row>
    <row r="2415" spans="1:5" x14ac:dyDescent="0.25">
      <c r="A2415" t="s">
        <v>772</v>
      </c>
      <c r="B2415" t="s">
        <v>13</v>
      </c>
      <c r="C2415" s="2">
        <f>HYPERLINK("https://cao.dolgi.msk.ru/account/1050383016/", 1050383016)</f>
        <v>1050383016</v>
      </c>
      <c r="D2415" s="4">
        <v>14533.41</v>
      </c>
      <c r="E2415">
        <v>1.99</v>
      </c>
    </row>
    <row r="2416" spans="1:5" x14ac:dyDescent="0.25">
      <c r="A2416" t="s">
        <v>772</v>
      </c>
      <c r="B2416" t="s">
        <v>20</v>
      </c>
      <c r="C2416" s="2">
        <f>HYPERLINK("https://cao.dolgi.msk.ru/account/1058017889/", 1058017889)</f>
        <v>1058017889</v>
      </c>
      <c r="D2416" s="4">
        <v>16206.86</v>
      </c>
      <c r="E2416">
        <v>2.98</v>
      </c>
    </row>
    <row r="2417" spans="1:5" x14ac:dyDescent="0.25">
      <c r="A2417" t="s">
        <v>772</v>
      </c>
      <c r="B2417" t="s">
        <v>21</v>
      </c>
      <c r="C2417" s="2">
        <f>HYPERLINK("https://cao.dolgi.msk.ru/account/1050383112/", 1050383112)</f>
        <v>1050383112</v>
      </c>
      <c r="D2417" s="4">
        <v>49295.63</v>
      </c>
      <c r="E2417">
        <v>9.06</v>
      </c>
    </row>
    <row r="2418" spans="1:5" x14ac:dyDescent="0.25">
      <c r="A2418" t="s">
        <v>772</v>
      </c>
      <c r="B2418" t="s">
        <v>22</v>
      </c>
      <c r="C2418" s="2">
        <f>HYPERLINK("https://cao.dolgi.msk.ru/account/1050383139/", 1050383139)</f>
        <v>1050383139</v>
      </c>
      <c r="D2418" s="4">
        <v>5573.9</v>
      </c>
      <c r="E2418">
        <v>1.98</v>
      </c>
    </row>
    <row r="2419" spans="1:5" x14ac:dyDescent="0.25">
      <c r="A2419" t="s">
        <v>772</v>
      </c>
      <c r="B2419" t="s">
        <v>26</v>
      </c>
      <c r="C2419" s="2">
        <f>HYPERLINK("https://cao.dolgi.msk.ru/account/1050383155/", 1050383155)</f>
        <v>1050383155</v>
      </c>
      <c r="D2419" s="4">
        <v>7966.25</v>
      </c>
      <c r="E2419">
        <v>1.83</v>
      </c>
    </row>
    <row r="2420" spans="1:5" x14ac:dyDescent="0.25">
      <c r="A2420" t="s">
        <v>772</v>
      </c>
      <c r="B2420" t="s">
        <v>40</v>
      </c>
      <c r="C2420" s="2">
        <f>HYPERLINK("https://cao.dolgi.msk.ru/account/1050383323/", 1050383323)</f>
        <v>1050383323</v>
      </c>
      <c r="D2420" s="4">
        <v>28527.88</v>
      </c>
      <c r="E2420">
        <v>3.97</v>
      </c>
    </row>
    <row r="2421" spans="1:5" x14ac:dyDescent="0.25">
      <c r="A2421" t="s">
        <v>772</v>
      </c>
      <c r="B2421" t="s">
        <v>43</v>
      </c>
      <c r="C2421" s="2">
        <f>HYPERLINK("https://cao.dolgi.msk.ru/account/1050383358/", 1050383358)</f>
        <v>1050383358</v>
      </c>
      <c r="D2421" s="4">
        <v>8689.15</v>
      </c>
      <c r="E2421">
        <v>1.24</v>
      </c>
    </row>
    <row r="2422" spans="1:5" x14ac:dyDescent="0.25">
      <c r="A2422" t="s">
        <v>773</v>
      </c>
      <c r="B2422" t="s">
        <v>23</v>
      </c>
      <c r="C2422" s="2">
        <f>HYPERLINK("https://cao.dolgi.msk.ru/account/1050257378/", 1050257378)</f>
        <v>1050257378</v>
      </c>
      <c r="D2422" s="4">
        <v>18541.5</v>
      </c>
      <c r="E2422">
        <v>2.95</v>
      </c>
    </row>
    <row r="2423" spans="1:5" x14ac:dyDescent="0.25">
      <c r="A2423" t="s">
        <v>773</v>
      </c>
      <c r="B2423" t="s">
        <v>28</v>
      </c>
      <c r="C2423" s="2">
        <f>HYPERLINK("https://cao.dolgi.msk.ru/account/1050257466/", 1050257466)</f>
        <v>1050257466</v>
      </c>
      <c r="D2423" s="4">
        <v>14146.6</v>
      </c>
      <c r="E2423">
        <v>2.88</v>
      </c>
    </row>
    <row r="2424" spans="1:5" x14ac:dyDescent="0.25">
      <c r="A2424" t="s">
        <v>773</v>
      </c>
      <c r="B2424" t="s">
        <v>47</v>
      </c>
      <c r="C2424" s="2">
        <f>HYPERLINK("https://cao.dolgi.msk.ru/account/1050257909/", 1050257909)</f>
        <v>1050257909</v>
      </c>
      <c r="D2424" s="4">
        <v>12095.03</v>
      </c>
      <c r="E2424">
        <v>3.32</v>
      </c>
    </row>
    <row r="2425" spans="1:5" x14ac:dyDescent="0.25">
      <c r="A2425" t="s">
        <v>773</v>
      </c>
      <c r="B2425" t="s">
        <v>52</v>
      </c>
      <c r="C2425" s="2">
        <f>HYPERLINK("https://cao.dolgi.msk.ru/account/1050257984/", 1050257984)</f>
        <v>1050257984</v>
      </c>
      <c r="D2425" s="4">
        <v>33389.32</v>
      </c>
      <c r="E2425">
        <v>6.03</v>
      </c>
    </row>
    <row r="2426" spans="1:5" x14ac:dyDescent="0.25">
      <c r="A2426" t="s">
        <v>773</v>
      </c>
      <c r="B2426" t="s">
        <v>61</v>
      </c>
      <c r="C2426" s="2">
        <f>HYPERLINK("https://cao.dolgi.msk.ru/account/1050258098/", 1050258098)</f>
        <v>1050258098</v>
      </c>
      <c r="D2426" s="4">
        <v>45580.800000000003</v>
      </c>
      <c r="E2426">
        <v>10.19</v>
      </c>
    </row>
    <row r="2427" spans="1:5" x14ac:dyDescent="0.25">
      <c r="A2427" t="s">
        <v>774</v>
      </c>
      <c r="B2427" t="s">
        <v>7</v>
      </c>
      <c r="C2427" s="2">
        <f>HYPERLINK("https://cao.dolgi.msk.ru/account/1050253318/", 1050253318)</f>
        <v>1050253318</v>
      </c>
      <c r="D2427" s="4">
        <v>26207.64</v>
      </c>
      <c r="E2427">
        <v>2.96</v>
      </c>
    </row>
    <row r="2428" spans="1:5" x14ac:dyDescent="0.25">
      <c r="A2428" t="s">
        <v>774</v>
      </c>
      <c r="B2428" t="s">
        <v>15</v>
      </c>
      <c r="C2428" s="2">
        <f>HYPERLINK("https://cao.dolgi.msk.ru/account/1050253529/", 1050253529)</f>
        <v>1050253529</v>
      </c>
      <c r="D2428" s="4">
        <v>20475.240000000002</v>
      </c>
      <c r="E2428">
        <v>2.4</v>
      </c>
    </row>
    <row r="2429" spans="1:5" x14ac:dyDescent="0.25">
      <c r="A2429" t="s">
        <v>774</v>
      </c>
      <c r="B2429" t="s">
        <v>29</v>
      </c>
      <c r="C2429" s="2">
        <f>HYPERLINK("https://cao.dolgi.msk.ru/account/1050254062/", 1050254062)</f>
        <v>1050254062</v>
      </c>
      <c r="D2429" s="4">
        <v>5173.4799999999996</v>
      </c>
      <c r="E2429">
        <v>1.04</v>
      </c>
    </row>
  </sheetData>
  <autoFilter ref="A1:E2429" xr:uid="{00000000-0009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020</dc:creator>
  <cp:lastModifiedBy>Анастасия</cp:lastModifiedBy>
  <dcterms:created xsi:type="dcterms:W3CDTF">2021-05-13T12:13:01Z</dcterms:created>
  <dcterms:modified xsi:type="dcterms:W3CDTF">2021-05-13T13:49:39Z</dcterms:modified>
</cp:coreProperties>
</file>